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<sst xmlns="http://schemas.openxmlformats.org/spreadsheetml/2006/main" count="1005" uniqueCount="356">
  <si>
    <t>Бюджет по г. Уральску на 2013-2015 годы</t>
  </si>
  <si>
    <t>Единица измерения:           тыс.тенге</t>
  </si>
  <si>
    <t>Коды бюджетной  классификации</t>
  </si>
  <si>
    <t>Наименование</t>
  </si>
  <si>
    <t>Утвержденный бюджет на 2009 год</t>
  </si>
  <si>
    <t>Утвержденный бюджет на 2010 год</t>
  </si>
  <si>
    <t xml:space="preserve"> 2011 год</t>
  </si>
  <si>
    <t xml:space="preserve">Скорректированный бюджет 2011г. на 19 августа </t>
  </si>
  <si>
    <t>Прогноз на 2012 год утвержден</t>
  </si>
  <si>
    <t>Прогноз на 2012 год среднесрочн план</t>
  </si>
  <si>
    <t>2012 год</t>
  </si>
  <si>
    <t xml:space="preserve">Администратор </t>
  </si>
  <si>
    <t>отчет 2011г.</t>
  </si>
  <si>
    <t xml:space="preserve">Прогноз на 2013 год </t>
  </si>
  <si>
    <t>% 2013года к 2012году</t>
  </si>
  <si>
    <t xml:space="preserve">Прогноз на 2014 год </t>
  </si>
  <si>
    <t xml:space="preserve">Прогноз на 2015 год </t>
  </si>
  <si>
    <t>Примечание</t>
  </si>
  <si>
    <t>% роста проекта 2011года к утвержденному бюджету на 2010 год</t>
  </si>
  <si>
    <t>% роста проекта 2012года к утвержденному бюджету на 2011 год</t>
  </si>
  <si>
    <t>функциональная группа</t>
  </si>
  <si>
    <t>функциональная подгруппа</t>
  </si>
  <si>
    <t>администратор бюджетной программы</t>
  </si>
  <si>
    <t>бюджетная программа</t>
  </si>
  <si>
    <t>бюджетная подпрограмма</t>
  </si>
  <si>
    <t>специфика</t>
  </si>
  <si>
    <t>Государственные услуги общего характера</t>
  </si>
  <si>
    <t>Расходы на 2013-2015 годы исчислены с учетом индекса потребительских цен 7%,8%,8%; социального налога  6%; социального отчисления 5%</t>
  </si>
  <si>
    <t>.01</t>
  </si>
  <si>
    <t>Представительные, исполнительные и другие органы, выполняющие общие функции  государственного управления</t>
  </si>
  <si>
    <t>Аппарат маслихата района (города областного значения)</t>
  </si>
  <si>
    <t>Услуги по обеспечению деятельности маслихата района (города областного значения)</t>
  </si>
  <si>
    <t>7шт., содержание служебного автомобиля включено</t>
  </si>
  <si>
    <t>Основная заработная плата</t>
  </si>
  <si>
    <t xml:space="preserve">Дополнительные выплаты </t>
  </si>
  <si>
    <t xml:space="preserve">Компенсационные выплаты </t>
  </si>
  <si>
    <t>Социальный налог</t>
  </si>
  <si>
    <t>Социальные отчисления в Государственный фонд социального страхования</t>
  </si>
  <si>
    <t>Взносы на обязательное страхование гражданско-правовой ответственности владельцев транспортных средств</t>
  </si>
  <si>
    <t>Приобретение прочих товаров</t>
  </si>
  <si>
    <t>Оплата услуг связи</t>
  </si>
  <si>
    <t>Оплата транспортных услуг</t>
  </si>
  <si>
    <t>Оплата аренды за помещение</t>
  </si>
  <si>
    <t>Прочие услуги и работы</t>
  </si>
  <si>
    <t>4внешт. Фот1208т.т., отч.120т.т.</t>
  </si>
  <si>
    <t>Командировки и служебные разъезды внутри страны</t>
  </si>
  <si>
    <t>Прочие текущие затраты</t>
  </si>
  <si>
    <t>Капитальные расходы государственных органов</t>
  </si>
  <si>
    <t>приобретение автомобиля 5500т.т.</t>
  </si>
  <si>
    <t>Приобретение товаров относящихся к основным средствам</t>
  </si>
  <si>
    <t>Приобретение нематериальных активов</t>
  </si>
  <si>
    <t>Укрепление материально-технической базы госорганов</t>
  </si>
  <si>
    <t>Приобретение товаров, относящихся к основным средствам</t>
  </si>
  <si>
    <t>Аппарат акима района (города областного значения)</t>
  </si>
  <si>
    <t>Услуги по обеспечению деятельности акима района ( города областного значения)</t>
  </si>
  <si>
    <t>28шт., дополнительно по служебному автотранс. 2492т.т.</t>
  </si>
  <si>
    <t>9внешт., ФОТ 2564т.т.,отч.254т.т.</t>
  </si>
  <si>
    <t>в том числе:по149специфике содержание бывшего ГККП "Управделами"</t>
  </si>
  <si>
    <t>в том числе</t>
  </si>
  <si>
    <t>фот штатников 9176т.т.,внештатн.8500т.т.</t>
  </si>
  <si>
    <t>Оплата коммунальных услуг</t>
  </si>
  <si>
    <t>Аппарат акима района в городе, города районного значения, поселка, аула (села), аульного (сельского) округа</t>
  </si>
  <si>
    <t>Услуги по обеспечению деятельности акима района в городе, города районного значения, поселка, аула (села), аульного (сельского) округа</t>
  </si>
  <si>
    <t>всего25шт., Д-7,Ж-4,З-9,К-5</t>
  </si>
  <si>
    <t>вода и канализация</t>
  </si>
  <si>
    <t>электроэнергия</t>
  </si>
  <si>
    <t>отопление</t>
  </si>
  <si>
    <t>.000</t>
  </si>
  <si>
    <t>Приобретение помещений, зданий и сооружений</t>
  </si>
  <si>
    <t>.02</t>
  </si>
  <si>
    <t>Финансовая  деятельность</t>
  </si>
  <si>
    <t>Отдел финансов района (города областного значения)</t>
  </si>
  <si>
    <t xml:space="preserve">Услуги по реализации государственной политики в области исполнения и контроля за исполнением бюджета района и управления коммунальной собственностью района </t>
  </si>
  <si>
    <t>14шт., сл\авт-1200т.т.</t>
  </si>
  <si>
    <t>в том числе:</t>
  </si>
  <si>
    <t>4внешт.фот 1150т.т. Отч.114т.т.</t>
  </si>
  <si>
    <t>Проведение оценки имущества в целях налогообложения</t>
  </si>
  <si>
    <t>Проведение мероприятий по ликвидации госучреждения, проводившего работу по выдаче разовых талонов и обеспечению полноты сбора сумм от реализации разовых талонов</t>
  </si>
  <si>
    <t xml:space="preserve">Приватизация, управление коммунальным имуществом,постприватизационная деятельность и регулирование споров, связанных с этим </t>
  </si>
  <si>
    <t>.05</t>
  </si>
  <si>
    <t xml:space="preserve"> </t>
  </si>
  <si>
    <t>Планирование и статистическая деятельность</t>
  </si>
  <si>
    <t>Отдел экономики и бюджетного планирования района (города областного значения)</t>
  </si>
  <si>
    <t xml:space="preserve">Услуги по реализации государственной политики в области формирования и развития экономической политики, системы государственного планирования </t>
  </si>
  <si>
    <t>13шт., сл\авт 1200т.т.</t>
  </si>
  <si>
    <t>3внешт. Фот 827т.т.,отч.82т.т.</t>
  </si>
  <si>
    <t>Оборона</t>
  </si>
  <si>
    <t>Военные нужды</t>
  </si>
  <si>
    <t>Мероприятия в рамках исполнения всеобщей воинской обязанности</t>
  </si>
  <si>
    <t>Приобретение медикаментов и прочих средств медицинского назначения</t>
  </si>
  <si>
    <t>фот 13745т.т., отч.1360т.т.</t>
  </si>
  <si>
    <t>Организация работы по чрезвычайным ситуациям</t>
  </si>
  <si>
    <t>Предупреждение и ликвидация чрезвычайных ситуаций масштаба района (города областного значения)</t>
  </si>
  <si>
    <t>Мероприятия по предупреждению и ликвидации чрезвычайных ситуаций</t>
  </si>
  <si>
    <t>Мероприятия по профилактике и тушению степных пожаров районного  (городского) масштаба, а также пожаров в населенных пунктах, в которых не созданы органы государственной противопожарной службы</t>
  </si>
  <si>
    <t>Общественный порядок, безопасность, правовая, судебная, уголовно-исполнительная деятельность</t>
  </si>
  <si>
    <t>Правоохранительная деятельность</t>
  </si>
  <si>
    <t>Отдел жилищно-коммунального хозяйства, пассажирского транспорта и автомобильных дорог района (города областного значения)</t>
  </si>
  <si>
    <t>Обеспечение безопасности дорожного движения в населенных пунктах</t>
  </si>
  <si>
    <t>Образование</t>
  </si>
  <si>
    <t>Дошкольное воспитание и обучение</t>
  </si>
  <si>
    <t>Отдел образования района (города областного значения)</t>
  </si>
  <si>
    <t>Обеспечение деятельности организаций дошкольного воспитания и обучения</t>
  </si>
  <si>
    <t xml:space="preserve">Учтены:2013г-д\с44, м\цТалап, Гумтехкол; 2014-д\с45,46,м\ц Алмаз; 2015-д\с47 </t>
  </si>
  <si>
    <t>.011</t>
  </si>
  <si>
    <t>За счет трансфертов из республиканского бюджета</t>
  </si>
  <si>
    <t>.015</t>
  </si>
  <si>
    <t>За счет средств местного бюджета</t>
  </si>
  <si>
    <t>В том числе</t>
  </si>
  <si>
    <t>47 детсада за счет городского бюджета</t>
  </si>
  <si>
    <t>Приобретение продуктов питания</t>
  </si>
  <si>
    <t>на 2011г.текущ.ремонт 38д\с-33,6млн.т., 2012г.-17млн.т.</t>
  </si>
  <si>
    <t>Трансферты физическим лицам</t>
  </si>
  <si>
    <t>Капитальный ремонт помещений, зданий, сооружений</t>
  </si>
  <si>
    <t>капрем 2014-9д\с(ПСД есть), на изг.ПСД на 2015г.-32млн.т.; 2015-8д\с(ПСД нет)</t>
  </si>
  <si>
    <t>Капитальные трансферты юридическим лицам</t>
  </si>
  <si>
    <t>ПСД на кап.ремонт на два сада</t>
  </si>
  <si>
    <t>Реализация государственного образовательного заказа в дошкольных организациях образования</t>
  </si>
  <si>
    <t>Увеличение размера доплаты за квалификационную категорию  воспитателям дошкольных организаций образования за счет трансфертов из республиканского бюджета</t>
  </si>
  <si>
    <t>внесение изменений и дополнений в ППРК №1400 от 29.12.2007г.</t>
  </si>
  <si>
    <t>Начальное, основное среднее, общее среднее образование</t>
  </si>
  <si>
    <t>Общеобразовательное обучение</t>
  </si>
  <si>
    <t>46школ+вечерняя</t>
  </si>
  <si>
    <t>Обеспечение деятельности школ начальных, основных и средних, школ - детских садов за счет средств местного бюджета</t>
  </si>
  <si>
    <t>Учтены:2013г- семь миницентров; 2014-десять миницентров; 2015-  четырнадцать миницентров,  две школы по 1200мест в 5мкрн и по ул.Самал</t>
  </si>
  <si>
    <r>
      <t xml:space="preserve">в 2012году - 240млн.т.горячее питание, фонтанчики с питьевой водой в пяти школах 4700т.т., заливка катков 975т.т. </t>
    </r>
    <r>
      <rPr>
        <b/>
        <sz val="10"/>
        <rFont val="Arial"/>
        <family val="2"/>
      </rPr>
      <t>С 2014г. На горячее питание с увелич. на 50% с 2014г.-388792т.т.(1-4классы). На 2013г.гор.пит 265млн.т.</t>
    </r>
  </si>
  <si>
    <t>в том числе: вечерняя общеобразовательная школа</t>
  </si>
  <si>
    <t>Затраты фонда всеобщего обязательного среднего образования</t>
  </si>
  <si>
    <t>На горячее питание с увелич. на 50% с 2014г.-54138т.т детям малообеспеченым</t>
  </si>
  <si>
    <t>кап.рем 2014г-6школ(ПСД есть), на изг.ПСД на 2015г.-40млн.т., 2015г-8школ(ПСД нет)</t>
  </si>
  <si>
    <t>Повышение оплаты труда учителям, прошедшим повышение квалификации по учебным программам АОО «Назарбаев интеллектуальные школы» за счет трансфертов из республиканского бюджета</t>
  </si>
  <si>
    <t>Увеличение размера доплаты за квалификационную категорию учителям школ за счет трансфертов из республиканского бюджета</t>
  </si>
  <si>
    <t xml:space="preserve">Дополнительное образование для детей </t>
  </si>
  <si>
    <t>организация военно-патриотического лагеря "Кайсар" 5млн.т.</t>
  </si>
  <si>
    <t>.09</t>
  </si>
  <si>
    <t>Прочие услуги в области образования</t>
  </si>
  <si>
    <t>Услуги по реализации государственной политики на местном уровне в области образования</t>
  </si>
  <si>
    <t>17шт., сл/авт 1000т.т.</t>
  </si>
  <si>
    <t>.003</t>
  </si>
  <si>
    <t>Аппараты местных органов</t>
  </si>
  <si>
    <t>8внешт. Фот 2290т.т. Отч 382т.т.</t>
  </si>
  <si>
    <t>Исполнение исполнительных документов, судебных актов</t>
  </si>
  <si>
    <t>Информатизация системы  образования в государственных учреждениях образования района (города областного значения)</t>
  </si>
  <si>
    <t>Приобретение и доставка учебников, учебно-методических комплексов для государственных учреждений образования района (города областного значения)</t>
  </si>
  <si>
    <t xml:space="preserve">Ежемесячные выплаты денежных средств опекунам (попечителям) на содержание ребенка сироты (детей-сирот), и ребенка (детей), оставшегося без попечения родителей </t>
  </si>
  <si>
    <t>согласно ППРК №893 от1.08.2011г. Расчет по 10МРП.На 2014г.: (1852*424детей+финуслуги283т.т.)</t>
  </si>
  <si>
    <t xml:space="preserve">Обеспечение оборудованием, программным обеспечением детей-инвалидов, обучающихся  на дому </t>
  </si>
  <si>
    <t>Проведение школьных олимпиад, внешкольных мероприятий и конкурсов районного (городского) масштаба</t>
  </si>
  <si>
    <t>Капитальный, текущий ремонт объектов образования в рамках реализации стратегии региональной занятости и переподготовки кадров</t>
  </si>
  <si>
    <t>Отдел строительства</t>
  </si>
  <si>
    <t>Строительство и реконструкция объектов образования</t>
  </si>
  <si>
    <t>Стоительство зданий и сооружений</t>
  </si>
  <si>
    <t>Строительство зданий и сооружений</t>
  </si>
  <si>
    <t>Социальная помощь и социальное обеспечение</t>
  </si>
  <si>
    <t>Социальная помощь</t>
  </si>
  <si>
    <t>Отдел занятости и социальных программ района (города областного значения)</t>
  </si>
  <si>
    <t>Программа занятости</t>
  </si>
  <si>
    <t>Общественные работы</t>
  </si>
  <si>
    <t>Профессиональная подготовка и переподготовка безработных</t>
  </si>
  <si>
    <t>Дополнительные меры по социальной защите граждан в сфере занятости населения</t>
  </si>
  <si>
    <t>Оказание мер государственной поддержки участникам Программы занятости 2020 за счет целевых текущих трансфертов из республиканского бюджета</t>
  </si>
  <si>
    <t>Государственная адресная социальная помощь</t>
  </si>
  <si>
    <t xml:space="preserve"> за счет средств местного бюджета</t>
  </si>
  <si>
    <t>Оказание жилищной помощи</t>
  </si>
  <si>
    <t>Социальная помощь отдельным категориям нуждающихся граждан по решениям местных представительных органов</t>
  </si>
  <si>
    <t>.029</t>
  </si>
  <si>
    <t>за счет средств бюджета района</t>
  </si>
  <si>
    <t>Социальная поддержка военнослужащих внутренних войск и срочной службы</t>
  </si>
  <si>
    <t>Льготы по проезду на всех видах общественного транспорта-городского, пригородного и местного сообщения (кроме такси)</t>
  </si>
  <si>
    <t>Материальное обеспечение детей-инвалидов, воспитывающихся и обучающихся на дому</t>
  </si>
  <si>
    <t>Социальная адаптация лиц, не имеющих определенного местожительства</t>
  </si>
  <si>
    <t>кризисный центр 11400т.т.</t>
  </si>
  <si>
    <t>Оказание социальной помощи нуждающимся гражданам на дому</t>
  </si>
  <si>
    <t>дополнит.шатн.един.,  аренда помещения 5800т.т.</t>
  </si>
  <si>
    <t>Аренда помещения</t>
  </si>
  <si>
    <t xml:space="preserve">во исполнение Стандартов оказания спец.социальных услуг в области соцзащиты населения в условиях оказания услуг на домуоткрылись два отделения со штатн.числен.40человек </t>
  </si>
  <si>
    <t>Государственные пособия на детей до 18 лет</t>
  </si>
  <si>
    <t>Обеспечение нуждающихся инвалидов обязательными гигиеническими средствами и предоставление услуг специалистами жестового языка, индивидуальными помощниками в соответствии с индивидуальной программой реабилитации инвалида</t>
  </si>
  <si>
    <t>Обеспечение проезда участникам и инвалидам ВОВ к 65-летию Победы в ВОВ</t>
  </si>
  <si>
    <t>Выплата единовременной материальной помощи участникам и инвалидам ВОВ к 65-летию Победы в ВОВ</t>
  </si>
  <si>
    <t>Обеспечение деятельности центров занятости населения</t>
  </si>
  <si>
    <t>Социальная поддержка обучающихся и воспитанников организаций образования очной формы обучения в виде льготного проезда на общественном транспорте (кроме такси) по решению местных представительных органов</t>
  </si>
  <si>
    <t>163млн.т. льготный проезд на 25520 студентов</t>
  </si>
  <si>
    <t>Льготный проезд на общественном транспорте (кроме такси) по решению местных представительных органов</t>
  </si>
  <si>
    <t>149млн.в2011 году</t>
  </si>
  <si>
    <t>Прочие услуги в области социальной помощи и социального обеспечения</t>
  </si>
  <si>
    <t>Услуги по реализации государственной политики на местном уровне в области обеспечения занятости социальных программ для населения</t>
  </si>
  <si>
    <t>37шт., сл/авт 1200т.т.</t>
  </si>
  <si>
    <t>Приобретение запасных частей, комплектующих и строительных материалов</t>
  </si>
  <si>
    <t>11,5внешт. Фот 4034т.т., отч.400т.т.</t>
  </si>
  <si>
    <t>.007</t>
  </si>
  <si>
    <t>Повышение квалификации государственных служащих</t>
  </si>
  <si>
    <t>.008</t>
  </si>
  <si>
    <t>.009</t>
  </si>
  <si>
    <t>Материально-техническое оснащение государственных органов</t>
  </si>
  <si>
    <t>Оплата услуг по зачислению, выплате и доставке пособий и других социальных выплат</t>
  </si>
  <si>
    <t>Жилищно-коммунальное хозяйство</t>
  </si>
  <si>
    <t>Жилищное хозяйство</t>
  </si>
  <si>
    <t>Изъятие, в том числе путем выкупа земельных участков для государственных надобностей и связанное с этим отчуждение недвижимого имущества</t>
  </si>
  <si>
    <t>Приобретение земли</t>
  </si>
  <si>
    <t>Организация сохранения государственного жилищного фонда</t>
  </si>
  <si>
    <t>Обеспечение жильем отдельных категорий граждан</t>
  </si>
  <si>
    <t>Отдел строительства района (города областного значения)</t>
  </si>
  <si>
    <t>Проектирование, строительство и (или) приобретение жилья коммунального жилищного фонда</t>
  </si>
  <si>
    <t>.013</t>
  </si>
  <si>
    <t>За счет кредитов из республиканского бюджета</t>
  </si>
  <si>
    <t>.020</t>
  </si>
  <si>
    <t>Развитие и обустройство инженерно-коммуникационной инфраструктуры</t>
  </si>
  <si>
    <t>Проектирование, развитие, обустройство и (или) приобретение инженерно-коммуникационной инфраструктуры</t>
  </si>
  <si>
    <t>Реализация программы за счет местного бюджета</t>
  </si>
  <si>
    <t xml:space="preserve">Строительство и (или) приобретение жилья государственного коммунального жилищного фонда </t>
  </si>
  <si>
    <t>Развитие, обустройство и (или) приобретение инженерно-коммуникационной инфраструктуры</t>
  </si>
  <si>
    <t>Строительство жилья</t>
  </si>
  <si>
    <t>Коммунальное хозяйство</t>
  </si>
  <si>
    <t>Развитие коммунального хозяйства</t>
  </si>
  <si>
    <t>Развитие системы водоснабжения  водоотведения</t>
  </si>
  <si>
    <t>Реализация программы за счет средств местного бюджета</t>
  </si>
  <si>
    <t>Ремонт инженерно-коммуникационной инфраструктуры и благоустройство населенных пунктов в рамках реализации стратегии региональной занятости и переподготовки кадров</t>
  </si>
  <si>
    <t>Развитие инженерно-коммуникационной инфраструктуры и благоустройство населенных пунктов в рамках реализации стратегии региональной занятости и переподготовки кадров</t>
  </si>
  <si>
    <t>.03</t>
  </si>
  <si>
    <t>Благоустройство населенных пунктов</t>
  </si>
  <si>
    <t>Освещение улиц в населенных пунктах</t>
  </si>
  <si>
    <t>Обеспечение санитарии населенных пунктов</t>
  </si>
  <si>
    <t>25млн очистка талыхвод, 5млн общест.туал.</t>
  </si>
  <si>
    <t xml:space="preserve">ППРК№423 от30.04.2003г.на содержание 575км (116млн.т.*12мес) </t>
  </si>
  <si>
    <t>Содержание мест захоронений и захоронение безродных</t>
  </si>
  <si>
    <t>Благоустройство и озеленение населенных пунктов</t>
  </si>
  <si>
    <t>Содерж.фонтан40млн,бегущстрока3млн</t>
  </si>
  <si>
    <t>Развитие благоустройства городов и населенных пунктов</t>
  </si>
  <si>
    <t>Культура, спорт, туризм и информационное пространство</t>
  </si>
  <si>
    <t>Деятельность в области культуры</t>
  </si>
  <si>
    <t>Отдел культуры и развития языков района (города областного значения)</t>
  </si>
  <si>
    <t>Поддержка культурно-досуговой работы</t>
  </si>
  <si>
    <t>в т.ч. баннеры 2млн.т.</t>
  </si>
  <si>
    <t>Субсидии крестьянским (фермерским) хозяйствам и юридическим лицам</t>
  </si>
  <si>
    <t>с 2014г.-открытие по 2 дворовых клуба в год</t>
  </si>
  <si>
    <t>Обеспечение сохранности историко-культурного наследия и доступа к ним</t>
  </si>
  <si>
    <t>Спорт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</si>
  <si>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</si>
  <si>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Отдел физической культуры и спорта района (города областного значения)</t>
  </si>
  <si>
    <t xml:space="preserve">Развитие массового спорта и национальных видов спорта </t>
  </si>
  <si>
    <t>В том числе ГККП "Намыс"</t>
  </si>
  <si>
    <t>24штат.ед.</t>
  </si>
  <si>
    <t>приобретение спортинвентаря 2000т.т.</t>
  </si>
  <si>
    <t>заливка и уборка катков 1200т.т., текущ.ремонт 30 дворов 2100т.т., налоги 28т.т.</t>
  </si>
  <si>
    <t>Проведение спортивных соревнований на районном (города областного значения ) уровне</t>
  </si>
  <si>
    <t>Подготовка и участие членов  сборных команд района (города областного значения) по различным видам спорта на областных спортивных соревнованиях</t>
  </si>
  <si>
    <t>Развитие объектов спорта</t>
  </si>
  <si>
    <t xml:space="preserve">Информационное пространство </t>
  </si>
  <si>
    <t>Функционирование районных (городских) библиотек</t>
  </si>
  <si>
    <t>капрем библ.Горького (ПСД есть)</t>
  </si>
  <si>
    <t>Развитие государственного языка и других языков народов Казахстана</t>
  </si>
  <si>
    <t>Отдел внутренней политики района (города областного значения)</t>
  </si>
  <si>
    <t>Проведение государственной информационной политики через средства массовой информации</t>
  </si>
  <si>
    <t>Услуги по проведению государственной информационной политики через газеты и журналы</t>
  </si>
  <si>
    <t>Услуги по проведению государственной информационной политики через телерадиовещание</t>
  </si>
  <si>
    <t>Прочие услуги по организации культуры, спорта, туризма  и информационного пространства</t>
  </si>
  <si>
    <t>Услуги по реализации государственной политики на местном уровне в области развития языков и культуры</t>
  </si>
  <si>
    <t>6шт., сл\авт 1200т.т.</t>
  </si>
  <si>
    <t>1внешт. Фот 278т.т. Отч.28т.т.</t>
  </si>
  <si>
    <t>Капитальный, текущий ремонт объектов культуры в рамках реализации стратегии региональной занятости и переподготовки кадров</t>
  </si>
  <si>
    <t>Услуги по реализации государственной политики на местном уровне в области информации, укрепления государственности и формирования социального оптимизма граждан</t>
  </si>
  <si>
    <t>7шт., сл\авт 1200т.т.</t>
  </si>
  <si>
    <t>Государственный социальный заказ</t>
  </si>
  <si>
    <t>работа с неправительственными организациями</t>
  </si>
  <si>
    <t>1внешт. Фот 284т.т. Отч.28т.т.</t>
  </si>
  <si>
    <t>Реализация мероприятий в сфере молодежной политики</t>
  </si>
  <si>
    <t>Услуги по реализации государственной политики на местном уровне в сфере физической культуры и спорта</t>
  </si>
  <si>
    <t>3шт., сл\авт 1200т.т.</t>
  </si>
  <si>
    <t>2внешт. Фот 549т.т. Отч.53т.т.</t>
  </si>
  <si>
    <t>Топливно-энергетический комплекс и недропользование</t>
  </si>
  <si>
    <t>Прочие услуги в области топливно-энергетического комплекса и недропользования</t>
  </si>
  <si>
    <t>Развитие теплоэнергетической системы</t>
  </si>
  <si>
    <t>Сельское, водное, лесное, рыбное хозяйство, особоохраняемые природные территории, охрана окружающей среды и животного мира, земельные отношения</t>
  </si>
  <si>
    <t>Сельское хозяйство</t>
  </si>
  <si>
    <t>Отдел сельского хозяйства района (города областного значения)</t>
  </si>
  <si>
    <t>Услуги по реализации государственной политики на местном уровне в сфере сельского хозяйства</t>
  </si>
  <si>
    <t>3 внешт. Фот 887т.т. Отч.87т.т.</t>
  </si>
  <si>
    <t>Отдел ветеринарии района (города областного значения</t>
  </si>
  <si>
    <t>Услуги по реализации государственной политики на местном уровне в сфере ветеринарии</t>
  </si>
  <si>
    <t>3 внешт. Фот 870т.т. Отч.87т.т.</t>
  </si>
  <si>
    <t>Обеспечение функционирования скотомогильников (биотермических ям)</t>
  </si>
  <si>
    <t>Организация санитарного убоя больных животных</t>
  </si>
  <si>
    <t>Развитие объектов сельского хозяйства</t>
  </si>
  <si>
    <t>Организация отлова и уничтожения бродячих собак и кошек</t>
  </si>
  <si>
    <t>Проведение мероприятий по идентификации сельхоз. животных</t>
  </si>
  <si>
    <t>Земельные отношения</t>
  </si>
  <si>
    <t>Отдел земельных отношений района (города областного значения)</t>
  </si>
  <si>
    <t>Услуги по реализации государственной политики в области регулирования земельных отношений на территории района (города)</t>
  </si>
  <si>
    <t>8шт., сл\авт 1200т.т.</t>
  </si>
  <si>
    <t>5 внешт. Фот 1410т.т. Отч.141т.т.</t>
  </si>
  <si>
    <t>Организация работ по зонированию земель</t>
  </si>
  <si>
    <t>Прочие услуги в области сельского, водного, лесного, рыбного хозяйства, охраны окружающей среды и земельных отношений</t>
  </si>
  <si>
    <t>Отдел ветеринарии района (города областного значения)</t>
  </si>
  <si>
    <t>Проведение противоэпизоотических мероприятий</t>
  </si>
  <si>
    <t>Промышленность, архитектурная, градостроительная и строительная деятельность</t>
  </si>
  <si>
    <t>Архитектурная, градостроительная и строительная деятельность</t>
  </si>
  <si>
    <t>Услуги по реализации государственной политики на местном уровне в области строительства</t>
  </si>
  <si>
    <t>12штатн., сл\авт 2200т.т.</t>
  </si>
  <si>
    <t>3 внешт. Фот 868т.т. Отч.86т.т.+2внешт. Фот568т.т. Отч.56т.т.</t>
  </si>
  <si>
    <t>Отдел архитектуры и градостроительства района (города областного значения)</t>
  </si>
  <si>
    <t xml:space="preserve">Услуги по реализации государственной политики в области архитектуры и градостроительства на местном уровне </t>
  </si>
  <si>
    <t>7шт., сл\авт 2000т.т.</t>
  </si>
  <si>
    <t>3 внешт. Фот 836т.т. Отч.87т.т.</t>
  </si>
  <si>
    <t>Создание информационных систем</t>
  </si>
  <si>
    <t>Разработка генеральных планов застройки населенных пунктов</t>
  </si>
  <si>
    <t>Транспорт и коммуникации</t>
  </si>
  <si>
    <t>Автомобильный транспорт</t>
  </si>
  <si>
    <t>.022</t>
  </si>
  <si>
    <t>Развитие транспортной инфраструктуры</t>
  </si>
  <si>
    <t>Строительство дорог</t>
  </si>
  <si>
    <t>Капитальный ремонт дорог</t>
  </si>
  <si>
    <t>Обеспечение функционирования автомобильных дорог</t>
  </si>
  <si>
    <t>Прочие услуги в сфере транспорта и коммуникаций</t>
  </si>
  <si>
    <t>Ремонт и содержание автомобильных дорог районного значения, улиц городов и населенных пунктов в рамках реализации стратегии региональной занятости и переподготовки кадров</t>
  </si>
  <si>
    <t>Строительство и реконструкция автомобильных дорог районного значения, улиц городов и населенных пунктов в рамках реализации стратегии региональной занятости и переподготовки кадров</t>
  </si>
  <si>
    <t>Организация внутрипоселковых (внутригородских) внутрирайонных общественных пассажирских перевозок</t>
  </si>
  <si>
    <t>Прочие</t>
  </si>
  <si>
    <t>Поддержка предпринимательской деятельности</t>
  </si>
  <si>
    <t>Отдел предпринимательства района (города областного значения)</t>
  </si>
  <si>
    <t>Услуги по реализации государственной политики на местном уровне в области развития предпринимательства и промышленности</t>
  </si>
  <si>
    <t>4шт., сл\авт 1200т.т.</t>
  </si>
  <si>
    <t>1 внешт. Фот 284т.т. Отч.28т.т.</t>
  </si>
  <si>
    <t xml:space="preserve">Резерв местного исполнительного органа района (города областного значения) </t>
  </si>
  <si>
    <t>Чрезвычайный резерв местного исполнительного органа района (города областного значения) для ликвидации чрезвычайных ситуаций природного и техногенного характера</t>
  </si>
  <si>
    <t>Резерв местного исполнительного органа района (города областного значения) на неотложные затраты</t>
  </si>
  <si>
    <t>Резерв местного исполнительного органа района (города областного значения) на исполнение обязательств по решениям судов</t>
  </si>
  <si>
    <t>.014</t>
  </si>
  <si>
    <t>Формирование или увеличение уставного капитала юридических лиц</t>
  </si>
  <si>
    <t>Приобретение долей участия, ценных бумаг юридических лиц</t>
  </si>
  <si>
    <t>Формирование и увеличение уставных капиталов государственных предприятий</t>
  </si>
  <si>
    <t>Услуги по реализации государственной политики на местном уровне в области жилищно-коммунального хозяйства, пассажирского транспорта и автомобильных дорог</t>
  </si>
  <si>
    <t>29шт., сл\авт 3200т.т.</t>
  </si>
  <si>
    <t>700квм*850тенге*12мес.</t>
  </si>
  <si>
    <t>16,5 внешт. Фот 5051т.т. Отч.501т.т., содержание оборудования для диспетчерской службы 4млн.т.</t>
  </si>
  <si>
    <t>Оплата по исполнительным документам</t>
  </si>
  <si>
    <t>оборудование для диспетчерской службы</t>
  </si>
  <si>
    <t>Реализация мер по содействию экономическому развитию регионов в рамках Программы "Развитие регионов"</t>
  </si>
  <si>
    <t>Развитие инженерной инфраструктуры в рамках Программы "Развитие регионов"</t>
  </si>
  <si>
    <t>Обслуживание долга</t>
  </si>
  <si>
    <t>Обслуживание долга местных исполнительных органов по выплате вознаграждений и иных платежей по займам из областного бюджета</t>
  </si>
  <si>
    <t>Трансферты</t>
  </si>
  <si>
    <t>Бюджетные изъятия</t>
  </si>
  <si>
    <t>Трансферты в Национальный фонд Республики Казахстан</t>
  </si>
  <si>
    <t>Трансферты за счет сверхплановых поступлений</t>
  </si>
  <si>
    <t>Различные прочие текущие трансферты</t>
  </si>
  <si>
    <t>Целевые текущие трансферты в вышестоящие бюджеты в связи с передачей функций госорганов из нижестоящего уровня госуправления в вышестоящий</t>
  </si>
  <si>
    <t>Погашение займов</t>
  </si>
  <si>
    <t xml:space="preserve">Погашение займов </t>
  </si>
  <si>
    <t>Погашение долга местного исполнительного органа перед вышестоящим бюджетом</t>
  </si>
  <si>
    <t>.024</t>
  </si>
  <si>
    <t>Перед вышестоящим бюджетом</t>
  </si>
  <si>
    <t>Погашение основного долга перед вышестоящим бюджетом</t>
  </si>
  <si>
    <t>итого</t>
  </si>
  <si>
    <t>Доведено</t>
  </si>
  <si>
    <t>Начальник отдела экономики и бюджетного планирования                                 Кабашев А.Б.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</si>
</sst>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"/>
    <numFmt numFmtId="166" formatCode="0.0"/>
    <numFmt numFmtId="167" formatCode="0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2"/>
      <name val="KZ Times New Roman"/>
      <family val="1"/>
    </font>
    <font>
      <sz val="10"/>
      <name val="KZ 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color indexed="10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0" fillId="0" borderId="1">
      <alignment horizontal="left" vertical="top" wrapText="1"/>
      <protection/>
    </xf>
    <xf numFmtId="0" fontId="31" fillId="0" borderId="1">
      <alignment horizontal="left" vertical="top" wrapText="1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19" fillId="33" borderId="0" xfId="54" applyFont="1" applyFill="1">
      <alignment/>
      <protection/>
    </xf>
    <xf numFmtId="0" fontId="18" fillId="33" borderId="0" xfId="54" applyFont="1" applyFill="1" applyAlignment="1">
      <alignment horizontal="center"/>
      <protection/>
    </xf>
    <xf numFmtId="0" fontId="18" fillId="33" borderId="0" xfId="54" applyFont="1" applyFill="1">
      <alignment/>
      <protection/>
    </xf>
    <xf numFmtId="0" fontId="18" fillId="33" borderId="0" xfId="54" applyFont="1" applyFill="1" applyAlignment="1">
      <alignment horizontal="center"/>
      <protection/>
    </xf>
    <xf numFmtId="0" fontId="18" fillId="33" borderId="0" xfId="54" applyFill="1" applyAlignment="1">
      <alignment horizontal="center"/>
      <protection/>
    </xf>
    <xf numFmtId="0" fontId="18" fillId="33" borderId="0" xfId="54" applyFill="1" applyAlignment="1">
      <alignment horizontal="center"/>
      <protection/>
    </xf>
    <xf numFmtId="0" fontId="20" fillId="33" borderId="0" xfId="54" applyFont="1" applyFill="1">
      <alignment/>
      <protection/>
    </xf>
    <xf numFmtId="1" fontId="18" fillId="33" borderId="0" xfId="54" applyNumberFormat="1" applyFont="1" applyFill="1">
      <alignment/>
      <protection/>
    </xf>
    <xf numFmtId="164" fontId="18" fillId="33" borderId="0" xfId="54" applyNumberFormat="1" applyFont="1" applyFill="1">
      <alignment/>
      <protection/>
    </xf>
    <xf numFmtId="0" fontId="18" fillId="33" borderId="11" xfId="54" applyFont="1" applyFill="1" applyBorder="1" applyAlignment="1">
      <alignment horizontal="center" vertical="center" wrapText="1"/>
      <protection/>
    </xf>
    <xf numFmtId="0" fontId="18" fillId="33" borderId="11" xfId="54" applyFill="1" applyBorder="1">
      <alignment/>
      <protection/>
    </xf>
    <xf numFmtId="0" fontId="18" fillId="33" borderId="11" xfId="54" applyFill="1" applyBorder="1" applyAlignment="1">
      <alignment horizontal="center" vertical="center" wrapText="1"/>
      <protection/>
    </xf>
    <xf numFmtId="0" fontId="18" fillId="33" borderId="11" xfId="54" applyFill="1" applyBorder="1" applyAlignment="1">
      <alignment horizontal="center" vertical="center" wrapText="1"/>
      <protection/>
    </xf>
    <xf numFmtId="0" fontId="18" fillId="33" borderId="12" xfId="54" applyFill="1" applyBorder="1" applyAlignment="1">
      <alignment horizontal="center" vertical="center" wrapText="1"/>
      <protection/>
    </xf>
    <xf numFmtId="0" fontId="18" fillId="33" borderId="12" xfId="54" applyFont="1" applyFill="1" applyBorder="1" applyAlignment="1">
      <alignment horizontal="center" vertical="center" wrapText="1"/>
      <protection/>
    </xf>
    <xf numFmtId="0" fontId="18" fillId="33" borderId="11" xfId="54" applyFont="1" applyFill="1" applyBorder="1" applyAlignment="1">
      <alignment horizontal="center" vertical="center" wrapText="1"/>
      <protection/>
    </xf>
    <xf numFmtId="0" fontId="20" fillId="33" borderId="0" xfId="54" applyFont="1" applyFill="1" applyAlignment="1">
      <alignment horizontal="center" vertical="center"/>
      <protection/>
    </xf>
    <xf numFmtId="0" fontId="18" fillId="33" borderId="11" xfId="54" applyFont="1" applyFill="1" applyBorder="1" applyAlignment="1">
      <alignment vertical="center" textRotation="90" wrapText="1"/>
      <protection/>
    </xf>
    <xf numFmtId="1" fontId="18" fillId="33" borderId="11" xfId="54" applyNumberFormat="1" applyFont="1" applyFill="1" applyBorder="1" applyAlignment="1">
      <alignment vertical="center" textRotation="90" wrapText="1"/>
      <protection/>
    </xf>
    <xf numFmtId="164" fontId="18" fillId="33" borderId="11" xfId="54" applyNumberFormat="1" applyFont="1" applyFill="1" applyBorder="1" applyAlignment="1">
      <alignment vertical="center" textRotation="90" wrapText="1"/>
      <protection/>
    </xf>
    <xf numFmtId="0" fontId="18" fillId="33" borderId="11" xfId="54" applyFill="1" applyBorder="1" applyAlignment="1">
      <alignment horizontal="center"/>
      <protection/>
    </xf>
    <xf numFmtId="0" fontId="18" fillId="33" borderId="13" xfId="54" applyFill="1" applyBorder="1" applyAlignment="1">
      <alignment horizontal="center" vertical="center" wrapText="1"/>
      <protection/>
    </xf>
    <xf numFmtId="0" fontId="18" fillId="33" borderId="13" xfId="54" applyFont="1" applyFill="1" applyBorder="1" applyAlignment="1">
      <alignment horizontal="center" vertical="center" wrapText="1"/>
      <protection/>
    </xf>
    <xf numFmtId="0" fontId="18" fillId="33" borderId="11" xfId="54" applyFill="1" applyBorder="1">
      <alignment/>
      <protection/>
    </xf>
    <xf numFmtId="0" fontId="18" fillId="33" borderId="13" xfId="54" applyFill="1" applyBorder="1">
      <alignment/>
      <protection/>
    </xf>
    <xf numFmtId="0" fontId="18" fillId="33" borderId="11" xfId="54" applyFont="1" applyFill="1" applyBorder="1" applyAlignment="1">
      <alignment horizontal="center"/>
      <protection/>
    </xf>
    <xf numFmtId="0" fontId="18" fillId="33" borderId="11" xfId="54" applyFont="1" applyFill="1" applyBorder="1" applyAlignment="1">
      <alignment horizontal="center" vertical="top"/>
      <protection/>
    </xf>
    <xf numFmtId="0" fontId="18" fillId="33" borderId="14" xfId="54" applyFont="1" applyFill="1" applyBorder="1" applyAlignment="1">
      <alignment horizontal="center" vertical="top"/>
      <protection/>
    </xf>
    <xf numFmtId="0" fontId="21" fillId="33" borderId="11" xfId="54" applyFont="1" applyFill="1" applyBorder="1">
      <alignment/>
      <protection/>
    </xf>
    <xf numFmtId="0" fontId="21" fillId="33" borderId="0" xfId="54" applyFont="1" applyFill="1">
      <alignment/>
      <protection/>
    </xf>
    <xf numFmtId="0" fontId="22" fillId="33" borderId="11" xfId="54" applyFont="1" applyFill="1" applyBorder="1" applyAlignment="1">
      <alignment wrapText="1"/>
      <protection/>
    </xf>
    <xf numFmtId="1" fontId="22" fillId="33" borderId="11" xfId="54" applyNumberFormat="1" applyFont="1" applyFill="1" applyBorder="1" applyAlignment="1">
      <alignment wrapText="1"/>
      <protection/>
    </xf>
    <xf numFmtId="164" fontId="22" fillId="33" borderId="11" xfId="54" applyNumberFormat="1" applyFont="1" applyFill="1" applyBorder="1" applyAlignment="1">
      <alignment wrapText="1"/>
      <protection/>
    </xf>
    <xf numFmtId="0" fontId="23" fillId="33" borderId="11" xfId="54" applyFont="1" applyFill="1" applyBorder="1" applyAlignment="1">
      <alignment wrapText="1"/>
      <protection/>
    </xf>
    <xf numFmtId="3" fontId="22" fillId="33" borderId="11" xfId="54" applyNumberFormat="1" applyFont="1" applyFill="1" applyBorder="1" applyAlignment="1">
      <alignment horizontal="right"/>
      <protection/>
    </xf>
    <xf numFmtId="165" fontId="24" fillId="33" borderId="14" xfId="54" applyNumberFormat="1" applyFont="1" applyFill="1" applyBorder="1" applyAlignment="1">
      <alignment wrapText="1"/>
      <protection/>
    </xf>
    <xf numFmtId="166" fontId="22" fillId="33" borderId="11" xfId="54" applyNumberFormat="1" applyFont="1" applyFill="1" applyBorder="1">
      <alignment/>
      <protection/>
    </xf>
    <xf numFmtId="0" fontId="22" fillId="33" borderId="0" xfId="54" applyFont="1" applyFill="1">
      <alignment/>
      <protection/>
    </xf>
    <xf numFmtId="0" fontId="18" fillId="33" borderId="11" xfId="54" applyFont="1" applyFill="1" applyBorder="1" applyAlignment="1">
      <alignment wrapText="1"/>
      <protection/>
    </xf>
    <xf numFmtId="1" fontId="18" fillId="33" borderId="11" xfId="54" applyNumberFormat="1" applyFont="1" applyFill="1" applyBorder="1" applyAlignment="1">
      <alignment wrapText="1"/>
      <protection/>
    </xf>
    <xf numFmtId="164" fontId="18" fillId="33" borderId="11" xfId="54" applyNumberFormat="1" applyFont="1" applyFill="1" applyBorder="1" applyAlignment="1">
      <alignment wrapText="1"/>
      <protection/>
    </xf>
    <xf numFmtId="3" fontId="18" fillId="33" borderId="11" xfId="54" applyNumberFormat="1" applyFont="1" applyFill="1" applyBorder="1" applyAlignment="1">
      <alignment horizontal="right"/>
      <protection/>
    </xf>
    <xf numFmtId="0" fontId="18" fillId="33" borderId="14" xfId="54" applyFont="1" applyFill="1" applyBorder="1" applyAlignment="1">
      <alignment/>
      <protection/>
    </xf>
    <xf numFmtId="0" fontId="25" fillId="33" borderId="0" xfId="54" applyFont="1" applyFill="1">
      <alignment/>
      <protection/>
    </xf>
    <xf numFmtId="0" fontId="24" fillId="33" borderId="11" xfId="54" applyFont="1" applyFill="1" applyBorder="1" applyAlignment="1">
      <alignment wrapText="1"/>
      <protection/>
    </xf>
    <xf numFmtId="0" fontId="18" fillId="33" borderId="14" xfId="54" applyFont="1" applyFill="1" applyBorder="1" applyAlignment="1">
      <alignment wrapText="1"/>
      <protection/>
    </xf>
    <xf numFmtId="3" fontId="22" fillId="33" borderId="11" xfId="54" applyNumberFormat="1" applyFont="1" applyFill="1" applyBorder="1" applyAlignment="1">
      <alignment/>
      <protection/>
    </xf>
    <xf numFmtId="0" fontId="18" fillId="33" borderId="14" xfId="54" applyFill="1" applyBorder="1" applyAlignment="1">
      <alignment wrapText="1"/>
      <protection/>
    </xf>
    <xf numFmtId="0" fontId="18" fillId="33" borderId="11" xfId="54" applyFont="1" applyFill="1" applyBorder="1" applyAlignment="1">
      <alignment vertical="center" wrapText="1"/>
      <protection/>
    </xf>
    <xf numFmtId="3" fontId="18" fillId="33" borderId="11" xfId="54" applyNumberFormat="1" applyFont="1" applyFill="1" applyBorder="1" applyAlignment="1">
      <alignment horizontal="right" wrapText="1"/>
      <protection/>
    </xf>
    <xf numFmtId="0" fontId="26" fillId="33" borderId="11" xfId="54" applyFont="1" applyFill="1" applyBorder="1" applyAlignment="1">
      <alignment wrapText="1"/>
      <protection/>
    </xf>
    <xf numFmtId="165" fontId="22" fillId="33" borderId="11" xfId="54" applyNumberFormat="1" applyFont="1" applyFill="1" applyBorder="1" applyAlignment="1">
      <alignment/>
      <protection/>
    </xf>
    <xf numFmtId="0" fontId="27" fillId="33" borderId="11" xfId="54" applyFont="1" applyFill="1" applyBorder="1" applyAlignment="1">
      <alignment wrapText="1"/>
      <protection/>
    </xf>
    <xf numFmtId="0" fontId="18" fillId="33" borderId="11" xfId="54" applyFont="1" applyFill="1" applyBorder="1" applyAlignment="1">
      <alignment/>
      <protection/>
    </xf>
    <xf numFmtId="0" fontId="61" fillId="0" borderId="0" xfId="0" applyFont="1" applyAlignment="1">
      <alignment wrapText="1"/>
    </xf>
    <xf numFmtId="0" fontId="18" fillId="33" borderId="14" xfId="54" applyFill="1" applyBorder="1" applyAlignment="1">
      <alignment/>
      <protection/>
    </xf>
    <xf numFmtId="0" fontId="18" fillId="33" borderId="14" xfId="54" applyNumberFormat="1" applyFill="1" applyBorder="1" applyAlignment="1">
      <alignment wrapText="1"/>
      <protection/>
    </xf>
    <xf numFmtId="0" fontId="26" fillId="0" borderId="11" xfId="0" applyFont="1" applyBorder="1" applyAlignment="1">
      <alignment vertical="top" wrapText="1"/>
    </xf>
    <xf numFmtId="0" fontId="29" fillId="33" borderId="0" xfId="54" applyFont="1" applyFill="1">
      <alignment/>
      <protection/>
    </xf>
    <xf numFmtId="0" fontId="18" fillId="33" borderId="14" xfId="54" applyFill="1" applyBorder="1">
      <alignment/>
      <protection/>
    </xf>
    <xf numFmtId="0" fontId="18" fillId="33" borderId="14" xfId="54" applyFont="1" applyFill="1" applyBorder="1">
      <alignment/>
      <protection/>
    </xf>
    <xf numFmtId="3" fontId="25" fillId="33" borderId="0" xfId="54" applyNumberFormat="1" applyFont="1" applyFill="1">
      <alignment/>
      <protection/>
    </xf>
    <xf numFmtId="0" fontId="18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3" fontId="18" fillId="33" borderId="11" xfId="54" applyNumberFormat="1" applyFont="1" applyFill="1" applyBorder="1" applyAlignment="1">
      <alignment wrapText="1"/>
      <protection/>
    </xf>
    <xf numFmtId="0" fontId="18" fillId="33" borderId="11" xfId="33" applyNumberFormat="1" applyFont="1" applyFill="1" applyBorder="1" applyAlignment="1" applyProtection="1">
      <alignment horizontal="left" vertical="top" wrapText="1"/>
      <protection/>
    </xf>
    <xf numFmtId="0" fontId="18" fillId="33" borderId="11" xfId="34" applyNumberFormat="1" applyFont="1" applyFill="1" applyBorder="1" applyAlignment="1" applyProtection="1">
      <alignment horizontal="left" vertical="top" wrapText="1"/>
      <protection/>
    </xf>
    <xf numFmtId="0" fontId="62" fillId="33" borderId="11" xfId="54" applyFont="1" applyFill="1" applyBorder="1" applyAlignment="1">
      <alignment wrapText="1"/>
      <protection/>
    </xf>
    <xf numFmtId="164" fontId="62" fillId="33" borderId="11" xfId="54" applyNumberFormat="1" applyFont="1" applyFill="1" applyBorder="1" applyAlignment="1">
      <alignment wrapText="1"/>
      <protection/>
    </xf>
    <xf numFmtId="3" fontId="18" fillId="33" borderId="11" xfId="54" applyNumberFormat="1" applyFill="1" applyBorder="1" applyAlignment="1">
      <alignment horizontal="right"/>
      <protection/>
    </xf>
    <xf numFmtId="164" fontId="26" fillId="33" borderId="11" xfId="54" applyNumberFormat="1" applyFont="1" applyFill="1" applyBorder="1" applyAlignment="1">
      <alignment wrapText="1"/>
      <protection/>
    </xf>
    <xf numFmtId="3" fontId="18" fillId="33" borderId="14" xfId="54" applyNumberFormat="1" applyFont="1" applyFill="1" applyBorder="1">
      <alignment/>
      <protection/>
    </xf>
    <xf numFmtId="167" fontId="18" fillId="33" borderId="11" xfId="54" applyNumberFormat="1" applyFill="1" applyBorder="1" applyAlignment="1">
      <alignment wrapText="1"/>
      <protection/>
    </xf>
    <xf numFmtId="0" fontId="18" fillId="33" borderId="11" xfId="54" applyFont="1" applyFill="1" applyBorder="1" applyAlignment="1">
      <alignment horizontal="center" wrapText="1"/>
      <protection/>
    </xf>
    <xf numFmtId="0" fontId="33" fillId="33" borderId="0" xfId="54" applyFont="1" applyFill="1">
      <alignment/>
      <protection/>
    </xf>
    <xf numFmtId="0" fontId="25" fillId="33" borderId="11" xfId="54" applyFont="1" applyFill="1" applyBorder="1">
      <alignment/>
      <protection/>
    </xf>
    <xf numFmtId="0" fontId="24" fillId="33" borderId="11" xfId="33" applyNumberFormat="1" applyFont="1" applyFill="1" applyBorder="1" applyAlignment="1" applyProtection="1">
      <alignment horizontal="left" vertical="top" wrapText="1"/>
      <protection/>
    </xf>
    <xf numFmtId="3" fontId="24" fillId="33" borderId="11" xfId="54" applyNumberFormat="1" applyFont="1" applyFill="1" applyBorder="1" applyAlignment="1">
      <alignment horizontal="right"/>
      <protection/>
    </xf>
    <xf numFmtId="0" fontId="34" fillId="33" borderId="0" xfId="54" applyFont="1" applyFill="1">
      <alignment/>
      <protection/>
    </xf>
    <xf numFmtId="0" fontId="35" fillId="33" borderId="0" xfId="54" applyFont="1" applyFill="1">
      <alignment/>
      <protection/>
    </xf>
    <xf numFmtId="0" fontId="18" fillId="33" borderId="0" xfId="54" applyFont="1" applyFill="1" applyAlignment="1">
      <alignment horizontal="right"/>
      <protection/>
    </xf>
    <xf numFmtId="0" fontId="36" fillId="33" borderId="0" xfId="54" applyFont="1" applyFill="1" applyAlignment="1">
      <alignment horizontal="left"/>
      <protection/>
    </xf>
    <xf numFmtId="0" fontId="26" fillId="33" borderId="0" xfId="54" applyFont="1" applyFill="1" applyAlignment="1">
      <alignment horizontal="right"/>
      <protection/>
    </xf>
    <xf numFmtId="0" fontId="26" fillId="33" borderId="0" xfId="54" applyFont="1" applyFill="1">
      <alignment/>
      <protection/>
    </xf>
    <xf numFmtId="0" fontId="29" fillId="33" borderId="0" xfId="54" applyFont="1" applyFill="1" applyBorder="1" applyAlignment="1">
      <alignment/>
      <protection/>
    </xf>
    <xf numFmtId="0" fontId="36" fillId="33" borderId="0" xfId="54" applyFont="1" applyFill="1" applyBorder="1" applyAlignment="1">
      <alignment/>
      <protection/>
    </xf>
    <xf numFmtId="0" fontId="26" fillId="33" borderId="0" xfId="54" applyFont="1" applyFill="1" applyBorder="1" applyAlignment="1">
      <alignment/>
      <protection/>
    </xf>
    <xf numFmtId="3" fontId="26" fillId="33" borderId="0" xfId="54" applyNumberFormat="1" applyFont="1" applyFill="1" applyBorder="1" applyAlignment="1">
      <alignment/>
      <protection/>
    </xf>
    <xf numFmtId="0" fontId="37" fillId="33" borderId="0" xfId="54" applyFont="1" applyFill="1" applyAlignment="1">
      <alignment horizontal="center"/>
      <protection/>
    </xf>
    <xf numFmtId="0" fontId="36" fillId="33" borderId="0" xfId="54" applyFont="1" applyFill="1" applyAlignment="1">
      <alignment horizontal="center"/>
      <protection/>
    </xf>
    <xf numFmtId="0" fontId="26" fillId="33" borderId="0" xfId="54" applyFont="1" applyFill="1" applyAlignment="1">
      <alignment horizontal="center"/>
      <protection/>
    </xf>
    <xf numFmtId="3" fontId="26" fillId="33" borderId="0" xfId="54" applyNumberFormat="1" applyFont="1" applyFill="1">
      <alignment/>
      <protection/>
    </xf>
    <xf numFmtId="0" fontId="38" fillId="33" borderId="0" xfId="54" applyFont="1" applyFill="1" applyAlignment="1">
      <alignment/>
      <protection/>
    </xf>
    <xf numFmtId="0" fontId="39" fillId="33" borderId="0" xfId="54" applyFont="1" applyFill="1" applyBorder="1">
      <alignment/>
      <protection/>
    </xf>
    <xf numFmtId="3" fontId="18" fillId="33" borderId="0" xfId="54" applyNumberFormat="1" applyFont="1" applyFill="1" applyAlignment="1">
      <alignment horizontal="center"/>
      <protection/>
    </xf>
    <xf numFmtId="0" fontId="40" fillId="33" borderId="0" xfId="54" applyFont="1" applyFill="1">
      <alignment/>
      <protection/>
    </xf>
    <xf numFmtId="0" fontId="21" fillId="33" borderId="0" xfId="54" applyFont="1" applyFill="1" applyAlignment="1">
      <alignment vertical="center" wrapText="1"/>
      <protection/>
    </xf>
    <xf numFmtId="0" fontId="41" fillId="33" borderId="0" xfId="54" applyFont="1" applyFill="1" applyAlignment="1">
      <alignment vertical="center" wrapText="1"/>
      <protection/>
    </xf>
    <xf numFmtId="0" fontId="41" fillId="33" borderId="0" xfId="54" applyFont="1" applyFill="1" applyBorder="1" applyAlignment="1">
      <alignment/>
      <protection/>
    </xf>
    <xf numFmtId="0" fontId="42" fillId="33" borderId="0" xfId="54" applyFont="1" applyFill="1" applyBorder="1" applyAlignment="1">
      <alignment/>
      <protection/>
    </xf>
    <xf numFmtId="3" fontId="41" fillId="33" borderId="0" xfId="54" applyNumberFormat="1" applyFont="1" applyFill="1" applyBorder="1" applyAlignment="1">
      <alignment/>
      <protection/>
    </xf>
    <xf numFmtId="0" fontId="43" fillId="33" borderId="0" xfId="54" applyFont="1" applyFill="1">
      <alignment/>
      <protection/>
    </xf>
    <xf numFmtId="0" fontId="33" fillId="33" borderId="0" xfId="54" applyFont="1" applyFill="1" applyAlignment="1">
      <alignment vertical="center" wrapText="1"/>
      <protection/>
    </xf>
    <xf numFmtId="0" fontId="33" fillId="33" borderId="0" xfId="54" applyFont="1" applyFill="1" applyBorder="1" applyAlignment="1">
      <alignment/>
      <protection/>
    </xf>
    <xf numFmtId="0" fontId="43" fillId="33" borderId="0" xfId="54" applyFont="1" applyFill="1" applyBorder="1">
      <alignment/>
      <protection/>
    </xf>
    <xf numFmtId="0" fontId="21" fillId="33" borderId="0" xfId="54" applyFont="1" applyFill="1" applyBorder="1">
      <alignment/>
      <protection/>
    </xf>
    <xf numFmtId="0" fontId="38" fillId="33" borderId="0" xfId="54" applyFont="1" applyFill="1" applyBorder="1" applyAlignment="1">
      <alignment horizontal="center"/>
      <protection/>
    </xf>
    <xf numFmtId="0" fontId="21" fillId="33" borderId="0" xfId="54" applyFont="1" applyFill="1" applyBorder="1" applyAlignment="1">
      <alignment horizontal="center"/>
      <protection/>
    </xf>
    <xf numFmtId="0" fontId="20" fillId="33" borderId="0" xfId="54" applyFont="1" applyFill="1" applyBorder="1">
      <alignment/>
      <protection/>
    </xf>
    <xf numFmtId="0" fontId="20" fillId="33" borderId="0" xfId="54" applyFont="1" applyFill="1" applyBorder="1" applyAlignment="1">
      <alignment horizontal="center" wrapText="1"/>
      <protection/>
    </xf>
    <xf numFmtId="1" fontId="25" fillId="33" borderId="0" xfId="54" applyNumberFormat="1" applyFont="1" applyFill="1">
      <alignment/>
      <protection/>
    </xf>
    <xf numFmtId="164" fontId="25" fillId="33" borderId="0" xfId="54" applyNumberFormat="1" applyFont="1" applyFill="1">
      <alignment/>
      <protection/>
    </xf>
    <xf numFmtId="1" fontId="20" fillId="33" borderId="0" xfId="54" applyNumberFormat="1" applyFont="1" applyFill="1">
      <alignment/>
      <protection/>
    </xf>
    <xf numFmtId="164" fontId="20" fillId="33" borderId="0" xfId="54" applyNumberFormat="1" applyFont="1" applyFill="1">
      <alignment/>
      <protection/>
    </xf>
    <xf numFmtId="0" fontId="18" fillId="33" borderId="0" xfId="54" applyFont="1" applyFill="1" applyBorder="1" applyAlignment="1">
      <alignment/>
      <protection/>
    </xf>
    <xf numFmtId="0" fontId="44" fillId="33" borderId="0" xfId="54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ame4" xfId="33"/>
    <cellStyle name="Name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2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3.57421875" style="44" customWidth="1"/>
    <col min="2" max="2" width="3.421875" style="111" customWidth="1"/>
    <col min="3" max="3" width="5.57421875" style="44" customWidth="1"/>
    <col min="4" max="4" width="5.140625" style="112" customWidth="1"/>
    <col min="5" max="5" width="4.8515625" style="44" customWidth="1"/>
    <col min="6" max="6" width="6.00390625" style="44" customWidth="1"/>
    <col min="7" max="7" width="48.28125" style="44" customWidth="1"/>
    <col min="8" max="8" width="12.00390625" style="44" hidden="1" customWidth="1"/>
    <col min="9" max="13" width="11.7109375" style="44" hidden="1" customWidth="1"/>
    <col min="14" max="14" width="13.421875" style="44" customWidth="1"/>
    <col min="15" max="16" width="11.7109375" style="44" hidden="1" customWidth="1"/>
    <col min="17" max="17" width="13.00390625" style="44" customWidth="1"/>
    <col min="18" max="19" width="13.00390625" style="44" hidden="1" customWidth="1"/>
    <col min="20" max="21" width="11.421875" style="44" customWidth="1"/>
    <col min="22" max="22" width="30.7109375" style="102" hidden="1" customWidth="1"/>
    <col min="23" max="23" width="15.7109375" style="44" hidden="1" customWidth="1"/>
    <col min="24" max="24" width="15.00390625" style="44" hidden="1" customWidth="1"/>
    <col min="25" max="16384" width="9.140625" style="44" customWidth="1"/>
  </cols>
  <sheetData>
    <row r="1" s="1" customFormat="1" ht="14.25">
      <c r="V1" s="2"/>
    </row>
    <row r="2" spans="1:22" s="7" customFormat="1" ht="15">
      <c r="A2" s="3"/>
      <c r="B2" s="3"/>
      <c r="C2" s="4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</row>
    <row r="3" spans="1:22" s="1" customFormat="1" ht="14.25">
      <c r="A3" s="3" t="s">
        <v>1</v>
      </c>
      <c r="B3" s="8"/>
      <c r="C3" s="3"/>
      <c r="D3" s="9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7" customFormat="1" ht="15">
      <c r="A4" s="3"/>
      <c r="B4" s="8"/>
      <c r="C4" s="3"/>
      <c r="D4" s="9"/>
      <c r="E4" s="3"/>
      <c r="F4" s="3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s="17" customFormat="1" ht="25.5">
      <c r="A5" s="10" t="s">
        <v>2</v>
      </c>
      <c r="B5" s="11"/>
      <c r="C5" s="11"/>
      <c r="D5" s="11"/>
      <c r="E5" s="11"/>
      <c r="F5" s="11"/>
      <c r="G5" s="10" t="s">
        <v>3</v>
      </c>
      <c r="H5" s="10" t="s">
        <v>4</v>
      </c>
      <c r="I5" s="12" t="s">
        <v>5</v>
      </c>
      <c r="J5" s="10" t="s">
        <v>6</v>
      </c>
      <c r="K5" s="10" t="s">
        <v>7</v>
      </c>
      <c r="L5" s="12" t="s">
        <v>8</v>
      </c>
      <c r="M5" s="12" t="s">
        <v>9</v>
      </c>
      <c r="N5" s="12" t="s">
        <v>10</v>
      </c>
      <c r="O5" s="13" t="s">
        <v>11</v>
      </c>
      <c r="P5" s="14" t="s">
        <v>12</v>
      </c>
      <c r="Q5" s="10" t="s">
        <v>13</v>
      </c>
      <c r="R5" s="15" t="s">
        <v>14</v>
      </c>
      <c r="S5" s="16"/>
      <c r="T5" s="10" t="s">
        <v>15</v>
      </c>
      <c r="U5" s="10" t="s">
        <v>16</v>
      </c>
      <c r="V5" s="15" t="s">
        <v>17</v>
      </c>
      <c r="W5" s="12" t="s">
        <v>18</v>
      </c>
      <c r="X5" s="12" t="s">
        <v>19</v>
      </c>
    </row>
    <row r="6" spans="1:24" s="17" customFormat="1" ht="131.25">
      <c r="A6" s="18" t="s">
        <v>20</v>
      </c>
      <c r="B6" s="19" t="s">
        <v>21</v>
      </c>
      <c r="C6" s="18" t="s">
        <v>22</v>
      </c>
      <c r="D6" s="20" t="s">
        <v>23</v>
      </c>
      <c r="E6" s="18" t="s">
        <v>24</v>
      </c>
      <c r="F6" s="18" t="s">
        <v>25</v>
      </c>
      <c r="G6" s="11"/>
      <c r="H6" s="11"/>
      <c r="I6" s="11"/>
      <c r="J6" s="11"/>
      <c r="K6" s="10"/>
      <c r="L6" s="11"/>
      <c r="M6" s="11"/>
      <c r="N6" s="11"/>
      <c r="O6" s="21"/>
      <c r="P6" s="22"/>
      <c r="Q6" s="11"/>
      <c r="R6" s="23"/>
      <c r="S6" s="24"/>
      <c r="T6" s="11"/>
      <c r="U6" s="11"/>
      <c r="V6" s="25"/>
      <c r="W6" s="10"/>
      <c r="X6" s="10"/>
    </row>
    <row r="7" spans="1:24" s="30" customFormat="1" ht="15.75">
      <c r="A7" s="26">
        <v>1</v>
      </c>
      <c r="B7" s="11"/>
      <c r="C7" s="11"/>
      <c r="D7" s="11"/>
      <c r="E7" s="11"/>
      <c r="F7" s="11"/>
      <c r="G7" s="27">
        <v>2</v>
      </c>
      <c r="H7" s="27">
        <v>3</v>
      </c>
      <c r="I7" s="27">
        <v>4</v>
      </c>
      <c r="J7" s="27">
        <v>5</v>
      </c>
      <c r="K7" s="27"/>
      <c r="L7" s="27"/>
      <c r="M7" s="27"/>
      <c r="N7" s="27">
        <v>6</v>
      </c>
      <c r="O7" s="27"/>
      <c r="P7" s="27"/>
      <c r="Q7" s="27">
        <v>7</v>
      </c>
      <c r="R7" s="27"/>
      <c r="S7" s="27"/>
      <c r="T7" s="27"/>
      <c r="U7" s="27"/>
      <c r="V7" s="28">
        <v>9</v>
      </c>
      <c r="W7" s="29">
        <v>9</v>
      </c>
      <c r="X7" s="29">
        <v>10</v>
      </c>
    </row>
    <row r="8" spans="1:24" s="38" customFormat="1" ht="76.5">
      <c r="A8" s="31">
        <v>1</v>
      </c>
      <c r="B8" s="32"/>
      <c r="C8" s="31"/>
      <c r="D8" s="33"/>
      <c r="E8" s="31"/>
      <c r="F8" s="31"/>
      <c r="G8" s="34" t="s">
        <v>26</v>
      </c>
      <c r="H8" s="35" t="e">
        <f>H9+H76+H115</f>
        <v>#REF!</v>
      </c>
      <c r="I8" s="35">
        <f>I9+I76+I115</f>
        <v>196393.521</v>
      </c>
      <c r="J8" s="35">
        <f>J9+J76+J115</f>
        <v>227783.0224</v>
      </c>
      <c r="K8" s="35"/>
      <c r="L8" s="35"/>
      <c r="M8" s="35"/>
      <c r="N8" s="35">
        <f>N9+N76+N115</f>
        <v>250749.39212</v>
      </c>
      <c r="O8" s="35"/>
      <c r="P8" s="35"/>
      <c r="Q8" s="35">
        <f>Q9+Q76+Q115</f>
        <v>210572.71785840002</v>
      </c>
      <c r="R8" s="35">
        <f aca="true" t="shared" si="0" ref="R8:R71">Q8/N8*100</f>
        <v>83.97735925821395</v>
      </c>
      <c r="S8" s="35"/>
      <c r="T8" s="35">
        <f>T9+T76+T115</f>
        <v>207900.07660707203</v>
      </c>
      <c r="U8" s="35">
        <f>U9+U76+U115</f>
        <v>212802.8320516378</v>
      </c>
      <c r="V8" s="36" t="s">
        <v>27</v>
      </c>
      <c r="W8" s="37">
        <f>J8/I8*100</f>
        <v>115.98296178008844</v>
      </c>
      <c r="X8" s="37">
        <f>N8/J8*100</f>
        <v>110.08256430967438</v>
      </c>
    </row>
    <row r="9" spans="1:24" ht="38.25">
      <c r="A9" s="39"/>
      <c r="B9" s="40" t="s">
        <v>28</v>
      </c>
      <c r="C9" s="39"/>
      <c r="D9" s="41"/>
      <c r="E9" s="39"/>
      <c r="F9" s="39"/>
      <c r="G9" s="39" t="s">
        <v>29</v>
      </c>
      <c r="H9" s="42" t="e">
        <f aca="true" t="shared" si="1" ref="H9:U9">H10+H30+H55</f>
        <v>#REF!</v>
      </c>
      <c r="I9" s="42">
        <f t="shared" si="1"/>
        <v>127312.41400000002</v>
      </c>
      <c r="J9" s="42">
        <f t="shared" si="1"/>
        <v>148520.3894</v>
      </c>
      <c r="K9" s="42"/>
      <c r="L9" s="42"/>
      <c r="M9" s="42"/>
      <c r="N9" s="42">
        <f t="shared" si="1"/>
        <v>153836.483</v>
      </c>
      <c r="O9" s="42"/>
      <c r="P9" s="42"/>
      <c r="Q9" s="42">
        <f t="shared" si="1"/>
        <v>141073.0974</v>
      </c>
      <c r="R9" s="35">
        <f t="shared" si="0"/>
        <v>91.70327782389565</v>
      </c>
      <c r="S9" s="42"/>
      <c r="T9" s="42">
        <f t="shared" si="1"/>
        <v>141168.54767200002</v>
      </c>
      <c r="U9" s="42">
        <f t="shared" si="1"/>
        <v>144218.15396576002</v>
      </c>
      <c r="V9" s="43"/>
      <c r="W9" s="37">
        <f>J9/I9*100</f>
        <v>116.65821480692367</v>
      </c>
      <c r="X9" s="37">
        <f>N9/J9*100</f>
        <v>103.579369554225</v>
      </c>
    </row>
    <row r="10" spans="1:24" ht="25.5">
      <c r="A10" s="39"/>
      <c r="B10" s="40"/>
      <c r="C10" s="39">
        <v>112</v>
      </c>
      <c r="D10" s="41"/>
      <c r="E10" s="39"/>
      <c r="F10" s="39"/>
      <c r="G10" s="39" t="s">
        <v>30</v>
      </c>
      <c r="H10" s="42" t="e">
        <f>H11</f>
        <v>#REF!</v>
      </c>
      <c r="I10" s="42">
        <f>I11+I28</f>
        <v>23845.32</v>
      </c>
      <c r="J10" s="42">
        <f>J11+J28+J25</f>
        <v>25014.182399999998</v>
      </c>
      <c r="K10" s="42"/>
      <c r="L10" s="42"/>
      <c r="M10" s="42"/>
      <c r="N10" s="42">
        <f>N11+N28</f>
        <v>14670.436</v>
      </c>
      <c r="O10" s="42"/>
      <c r="P10" s="42"/>
      <c r="Q10" s="42">
        <f>Q11+Q28</f>
        <v>14959.27</v>
      </c>
      <c r="R10" s="35">
        <f t="shared" si="0"/>
        <v>101.96881674137019</v>
      </c>
      <c r="S10" s="42"/>
      <c r="T10" s="42">
        <f>T11+T28</f>
        <v>15238.411600000001</v>
      </c>
      <c r="U10" s="42">
        <f>U11+U28</f>
        <v>15539.884528</v>
      </c>
      <c r="V10" s="43"/>
      <c r="W10" s="37">
        <f>J10/I10*100</f>
        <v>104.90185243896914</v>
      </c>
      <c r="X10" s="37">
        <f>N10/J10*100</f>
        <v>58.64847295588602</v>
      </c>
    </row>
    <row r="11" spans="1:24" ht="38.25">
      <c r="A11" s="39"/>
      <c r="B11" s="40"/>
      <c r="C11" s="39"/>
      <c r="D11" s="41">
        <v>1</v>
      </c>
      <c r="E11" s="39"/>
      <c r="F11" s="39"/>
      <c r="G11" s="45" t="s">
        <v>31</v>
      </c>
      <c r="H11" s="42" t="e">
        <f>#REF!+#REF!+H25</f>
        <v>#REF!</v>
      </c>
      <c r="I11" s="42">
        <f aca="true" t="shared" si="2" ref="I11:U11">SUM(I12:I24)</f>
        <v>23645.32</v>
      </c>
      <c r="J11" s="42">
        <f t="shared" si="2"/>
        <v>19514.182399999998</v>
      </c>
      <c r="K11" s="42">
        <f t="shared" si="2"/>
        <v>19514</v>
      </c>
      <c r="L11" s="42">
        <v>18703</v>
      </c>
      <c r="M11" s="42">
        <v>19102</v>
      </c>
      <c r="N11" s="42">
        <f t="shared" si="2"/>
        <v>14670.436</v>
      </c>
      <c r="O11" s="42"/>
      <c r="P11" s="42"/>
      <c r="Q11" s="42">
        <f t="shared" si="2"/>
        <v>14959.27</v>
      </c>
      <c r="R11" s="35">
        <f t="shared" si="0"/>
        <v>101.96881674137019</v>
      </c>
      <c r="S11" s="42"/>
      <c r="T11" s="42">
        <f t="shared" si="2"/>
        <v>15238.411600000001</v>
      </c>
      <c r="U11" s="42">
        <f t="shared" si="2"/>
        <v>15539.884528</v>
      </c>
      <c r="V11" s="46" t="s">
        <v>32</v>
      </c>
      <c r="W11" s="37">
        <f>J11/I11*100</f>
        <v>82.52873042107275</v>
      </c>
      <c r="X11" s="37">
        <f>N11/J11*100</f>
        <v>75.17832773767658</v>
      </c>
    </row>
    <row r="12" spans="1:24" ht="12.75">
      <c r="A12" s="39"/>
      <c r="B12" s="40"/>
      <c r="C12" s="39"/>
      <c r="D12" s="41"/>
      <c r="E12" s="39"/>
      <c r="F12" s="39">
        <v>111</v>
      </c>
      <c r="G12" s="39" t="s">
        <v>33</v>
      </c>
      <c r="H12" s="42">
        <v>5340</v>
      </c>
      <c r="I12" s="42">
        <v>8010</v>
      </c>
      <c r="J12" s="42">
        <v>9857</v>
      </c>
      <c r="K12" s="42">
        <v>9484</v>
      </c>
      <c r="L12" s="42"/>
      <c r="M12" s="42"/>
      <c r="N12" s="42">
        <v>7964</v>
      </c>
      <c r="O12" s="42"/>
      <c r="P12" s="42"/>
      <c r="Q12" s="42">
        <v>8000</v>
      </c>
      <c r="R12" s="35">
        <f t="shared" si="0"/>
        <v>100.45203415369161</v>
      </c>
      <c r="S12" s="42"/>
      <c r="T12" s="47">
        <v>8000</v>
      </c>
      <c r="U12" s="35">
        <v>8000</v>
      </c>
      <c r="V12" s="48"/>
      <c r="W12" s="37">
        <f>J12/I12*100</f>
        <v>123.05867665418226</v>
      </c>
      <c r="X12" s="37">
        <f>N12/J12*100</f>
        <v>80.79537384599776</v>
      </c>
    </row>
    <row r="13" spans="1:24" ht="12.75">
      <c r="A13" s="39"/>
      <c r="B13" s="40"/>
      <c r="C13" s="39"/>
      <c r="D13" s="41"/>
      <c r="E13" s="39"/>
      <c r="F13" s="39">
        <v>112</v>
      </c>
      <c r="G13" s="39" t="s">
        <v>34</v>
      </c>
      <c r="H13" s="42"/>
      <c r="I13" s="42"/>
      <c r="J13" s="42"/>
      <c r="K13" s="42">
        <v>315</v>
      </c>
      <c r="L13" s="42"/>
      <c r="M13" s="42"/>
      <c r="N13" s="42"/>
      <c r="O13" s="42"/>
      <c r="P13" s="42"/>
      <c r="Q13" s="42"/>
      <c r="R13" s="35" t="e">
        <f t="shared" si="0"/>
        <v>#DIV/0!</v>
      </c>
      <c r="S13" s="42"/>
      <c r="T13" s="47"/>
      <c r="U13" s="35"/>
      <c r="V13" s="48"/>
      <c r="W13" s="37"/>
      <c r="X13" s="37"/>
    </row>
    <row r="14" spans="1:24" ht="12.75">
      <c r="A14" s="39"/>
      <c r="B14" s="40"/>
      <c r="C14" s="49"/>
      <c r="D14" s="41"/>
      <c r="E14" s="49"/>
      <c r="F14" s="49">
        <v>113</v>
      </c>
      <c r="G14" s="49" t="s">
        <v>35</v>
      </c>
      <c r="H14" s="50">
        <v>895</v>
      </c>
      <c r="I14" s="42">
        <v>1484</v>
      </c>
      <c r="J14" s="42">
        <v>1869</v>
      </c>
      <c r="K14" s="42">
        <v>1922</v>
      </c>
      <c r="L14" s="42"/>
      <c r="M14" s="42"/>
      <c r="N14" s="42">
        <v>1329</v>
      </c>
      <c r="O14" s="42"/>
      <c r="P14" s="42"/>
      <c r="Q14" s="42">
        <v>1350</v>
      </c>
      <c r="R14" s="35">
        <f t="shared" si="0"/>
        <v>101.58013544018058</v>
      </c>
      <c r="S14" s="42"/>
      <c r="T14" s="42">
        <v>1350</v>
      </c>
      <c r="U14" s="42">
        <v>1350</v>
      </c>
      <c r="V14" s="43"/>
      <c r="W14" s="37">
        <f aca="true" t="shared" si="3" ref="W14:W20">J14/I14*100</f>
        <v>125.9433962264151</v>
      </c>
      <c r="X14" s="37">
        <f aca="true" t="shared" si="4" ref="X14:X20">N14/J14*100</f>
        <v>71.107544141252</v>
      </c>
    </row>
    <row r="15" spans="1:24" ht="12.75">
      <c r="A15" s="39"/>
      <c r="B15" s="40"/>
      <c r="C15" s="49"/>
      <c r="D15" s="41"/>
      <c r="E15" s="49"/>
      <c r="F15" s="49">
        <v>121</v>
      </c>
      <c r="G15" s="49" t="s">
        <v>36</v>
      </c>
      <c r="H15" s="50">
        <v>337</v>
      </c>
      <c r="I15" s="42">
        <v>370</v>
      </c>
      <c r="J15" s="42">
        <v>452</v>
      </c>
      <c r="K15" s="42">
        <v>457</v>
      </c>
      <c r="L15" s="42"/>
      <c r="M15" s="42"/>
      <c r="N15" s="42">
        <f>(N12-(N12*0.1))*0.06</f>
        <v>430.056</v>
      </c>
      <c r="O15" s="42"/>
      <c r="P15" s="42"/>
      <c r="Q15" s="42">
        <f>(Q12-(Q12*0.1))*0.06</f>
        <v>432</v>
      </c>
      <c r="R15" s="35">
        <f t="shared" si="0"/>
        <v>100.45203415369161</v>
      </c>
      <c r="S15" s="42"/>
      <c r="T15" s="42">
        <f>(T12-(T12*0.1))*0.06</f>
        <v>432</v>
      </c>
      <c r="U15" s="42">
        <f>(U12-(U12*0.1))*0.06</f>
        <v>432</v>
      </c>
      <c r="V15" s="43"/>
      <c r="W15" s="37">
        <f t="shared" si="3"/>
        <v>122.16216216216216</v>
      </c>
      <c r="X15" s="37">
        <f t="shared" si="4"/>
        <v>95.14513274336282</v>
      </c>
    </row>
    <row r="16" spans="1:24" ht="25.5">
      <c r="A16" s="39"/>
      <c r="B16" s="40"/>
      <c r="C16" s="39"/>
      <c r="D16" s="41"/>
      <c r="E16" s="39"/>
      <c r="F16" s="39">
        <v>122</v>
      </c>
      <c r="G16" s="39" t="s">
        <v>37</v>
      </c>
      <c r="H16" s="42">
        <v>193</v>
      </c>
      <c r="I16" s="42">
        <v>309</v>
      </c>
      <c r="J16" s="42">
        <v>377</v>
      </c>
      <c r="K16" s="42">
        <v>377</v>
      </c>
      <c r="L16" s="42"/>
      <c r="M16" s="42"/>
      <c r="N16" s="42">
        <f>(N12-(N12*0.1))*0.05</f>
        <v>358.38000000000005</v>
      </c>
      <c r="O16" s="42"/>
      <c r="P16" s="42"/>
      <c r="Q16" s="42">
        <f>(Q12-(Q12*0.1))*0.05</f>
        <v>360</v>
      </c>
      <c r="R16" s="35">
        <f t="shared" si="0"/>
        <v>100.4520341536916</v>
      </c>
      <c r="S16" s="42"/>
      <c r="T16" s="42">
        <f>(T12-(T12*0.1))*0.05</f>
        <v>360</v>
      </c>
      <c r="U16" s="42">
        <f>(U12-(U12*0.1))*0.05</f>
        <v>360</v>
      </c>
      <c r="V16" s="43"/>
      <c r="W16" s="37">
        <f t="shared" si="3"/>
        <v>122.00647249190939</v>
      </c>
      <c r="X16" s="37">
        <f t="shared" si="4"/>
        <v>95.0610079575597</v>
      </c>
    </row>
    <row r="17" spans="1:24" ht="38.25">
      <c r="A17" s="39"/>
      <c r="B17" s="40"/>
      <c r="C17" s="39"/>
      <c r="D17" s="41"/>
      <c r="E17" s="39"/>
      <c r="F17" s="39">
        <v>125</v>
      </c>
      <c r="G17" s="39" t="s">
        <v>38</v>
      </c>
      <c r="H17" s="42">
        <v>8</v>
      </c>
      <c r="I17" s="42">
        <v>8</v>
      </c>
      <c r="J17" s="42">
        <f>I17*1.07</f>
        <v>8.56</v>
      </c>
      <c r="K17" s="42">
        <v>9</v>
      </c>
      <c r="L17" s="42"/>
      <c r="M17" s="42"/>
      <c r="N17" s="42">
        <v>10</v>
      </c>
      <c r="O17" s="42"/>
      <c r="P17" s="42"/>
      <c r="Q17" s="42">
        <f>N17*1.07</f>
        <v>10.700000000000001</v>
      </c>
      <c r="R17" s="35">
        <f t="shared" si="0"/>
        <v>107</v>
      </c>
      <c r="S17" s="42"/>
      <c r="T17" s="42">
        <f>Q17*1.08</f>
        <v>11.556000000000003</v>
      </c>
      <c r="U17" s="42">
        <f>T17*1.08</f>
        <v>12.480480000000004</v>
      </c>
      <c r="V17" s="43"/>
      <c r="W17" s="37">
        <f t="shared" si="3"/>
        <v>107</v>
      </c>
      <c r="X17" s="37">
        <f t="shared" si="4"/>
        <v>116.82242990654206</v>
      </c>
    </row>
    <row r="18" spans="1:24" ht="12.75">
      <c r="A18" s="39"/>
      <c r="B18" s="40"/>
      <c r="C18" s="39"/>
      <c r="D18" s="41"/>
      <c r="E18" s="39"/>
      <c r="F18" s="39">
        <v>139</v>
      </c>
      <c r="G18" s="39" t="s">
        <v>39</v>
      </c>
      <c r="H18" s="42">
        <v>2641</v>
      </c>
      <c r="I18" s="42">
        <v>1734</v>
      </c>
      <c r="J18" s="42">
        <v>1048</v>
      </c>
      <c r="K18" s="42">
        <v>1048</v>
      </c>
      <c r="L18" s="42"/>
      <c r="M18" s="42"/>
      <c r="N18" s="42">
        <v>995</v>
      </c>
      <c r="O18" s="42"/>
      <c r="P18" s="42"/>
      <c r="Q18" s="42">
        <f aca="true" t="shared" si="5" ref="Q18:Q24">N18*1.07</f>
        <v>1064.65</v>
      </c>
      <c r="R18" s="35">
        <f t="shared" si="0"/>
        <v>107</v>
      </c>
      <c r="S18" s="42"/>
      <c r="T18" s="42">
        <f>Q18*1.08</f>
        <v>1149.8220000000001</v>
      </c>
      <c r="U18" s="42">
        <f aca="true" t="shared" si="6" ref="U18:U24">T18*1.08</f>
        <v>1241.8077600000001</v>
      </c>
      <c r="V18" s="46"/>
      <c r="W18" s="37">
        <f t="shared" si="3"/>
        <v>60.438292964244525</v>
      </c>
      <c r="X18" s="37">
        <f t="shared" si="4"/>
        <v>94.94274809160305</v>
      </c>
    </row>
    <row r="19" spans="1:24" ht="12.75">
      <c r="A19" s="39"/>
      <c r="B19" s="40"/>
      <c r="C19" s="39"/>
      <c r="D19" s="41"/>
      <c r="E19" s="39"/>
      <c r="F19" s="39">
        <v>142</v>
      </c>
      <c r="G19" s="39" t="s">
        <v>40</v>
      </c>
      <c r="H19" s="42">
        <v>519</v>
      </c>
      <c r="I19" s="42">
        <v>409</v>
      </c>
      <c r="J19" s="42">
        <v>410</v>
      </c>
      <c r="K19" s="42">
        <v>409</v>
      </c>
      <c r="L19" s="42"/>
      <c r="M19" s="42"/>
      <c r="N19" s="42">
        <v>366</v>
      </c>
      <c r="O19" s="42"/>
      <c r="P19" s="42"/>
      <c r="Q19" s="42">
        <f t="shared" si="5"/>
        <v>391.62</v>
      </c>
      <c r="R19" s="35">
        <f t="shared" si="0"/>
        <v>107</v>
      </c>
      <c r="S19" s="42"/>
      <c r="T19" s="42">
        <f>Q19*1.08</f>
        <v>422.94960000000003</v>
      </c>
      <c r="U19" s="42">
        <f t="shared" si="6"/>
        <v>456.78556800000007</v>
      </c>
      <c r="V19" s="43"/>
      <c r="W19" s="37">
        <f t="shared" si="3"/>
        <v>100.24449877750612</v>
      </c>
      <c r="X19" s="37">
        <f t="shared" si="4"/>
        <v>89.26829268292683</v>
      </c>
    </row>
    <row r="20" spans="1:24" ht="12.75">
      <c r="A20" s="39"/>
      <c r="B20" s="40"/>
      <c r="C20" s="39"/>
      <c r="D20" s="41"/>
      <c r="E20" s="39"/>
      <c r="F20" s="39">
        <v>143</v>
      </c>
      <c r="G20" s="39" t="s">
        <v>41</v>
      </c>
      <c r="H20" s="42">
        <v>810</v>
      </c>
      <c r="I20" s="42">
        <v>840</v>
      </c>
      <c r="J20" s="42">
        <v>960</v>
      </c>
      <c r="K20" s="42">
        <v>960</v>
      </c>
      <c r="L20" s="42"/>
      <c r="M20" s="42"/>
      <c r="N20" s="42"/>
      <c r="O20" s="42"/>
      <c r="P20" s="42"/>
      <c r="Q20" s="42">
        <f t="shared" si="5"/>
        <v>0</v>
      </c>
      <c r="R20" s="35" t="e">
        <f t="shared" si="0"/>
        <v>#DIV/0!</v>
      </c>
      <c r="S20" s="42"/>
      <c r="T20" s="42">
        <f>Q20*1.08</f>
        <v>0</v>
      </c>
      <c r="U20" s="42">
        <f t="shared" si="6"/>
        <v>0</v>
      </c>
      <c r="V20" s="43"/>
      <c r="W20" s="37">
        <f t="shared" si="3"/>
        <v>114.28571428571428</v>
      </c>
      <c r="X20" s="37">
        <f t="shared" si="4"/>
        <v>0</v>
      </c>
    </row>
    <row r="21" spans="1:24" ht="12.75">
      <c r="A21" s="39"/>
      <c r="B21" s="40"/>
      <c r="C21" s="39"/>
      <c r="D21" s="41"/>
      <c r="E21" s="39"/>
      <c r="F21" s="39">
        <v>147</v>
      </c>
      <c r="G21" s="39" t="s">
        <v>42</v>
      </c>
      <c r="H21" s="42"/>
      <c r="I21" s="42"/>
      <c r="J21" s="42">
        <v>480</v>
      </c>
      <c r="K21" s="42">
        <v>480</v>
      </c>
      <c r="L21" s="42"/>
      <c r="M21" s="42"/>
      <c r="N21" s="42"/>
      <c r="O21" s="42"/>
      <c r="P21" s="42"/>
      <c r="Q21" s="42">
        <f t="shared" si="5"/>
        <v>0</v>
      </c>
      <c r="R21" s="35" t="e">
        <f t="shared" si="0"/>
        <v>#DIV/0!</v>
      </c>
      <c r="S21" s="42"/>
      <c r="T21" s="42">
        <f>Q21*1.08</f>
        <v>0</v>
      </c>
      <c r="U21" s="42">
        <f t="shared" si="6"/>
        <v>0</v>
      </c>
      <c r="V21" s="43"/>
      <c r="W21" s="37"/>
      <c r="X21" s="37"/>
    </row>
    <row r="22" spans="1:24" ht="12.75">
      <c r="A22" s="39"/>
      <c r="B22" s="40"/>
      <c r="C22" s="39"/>
      <c r="D22" s="41"/>
      <c r="E22" s="39"/>
      <c r="F22" s="39">
        <v>149</v>
      </c>
      <c r="G22" s="39" t="s">
        <v>43</v>
      </c>
      <c r="H22" s="42">
        <v>5006</v>
      </c>
      <c r="I22" s="42">
        <v>10065</v>
      </c>
      <c r="J22" s="42">
        <v>3605</v>
      </c>
      <c r="K22" s="42">
        <v>3605</v>
      </c>
      <c r="L22" s="42"/>
      <c r="M22" s="42"/>
      <c r="N22" s="42">
        <v>2896</v>
      </c>
      <c r="O22" s="42"/>
      <c r="P22" s="42"/>
      <c r="Q22" s="42">
        <f>(N22-1328)*1.07+1328</f>
        <v>3005.76</v>
      </c>
      <c r="R22" s="35">
        <f t="shared" si="0"/>
        <v>103.7900552486188</v>
      </c>
      <c r="S22" s="42"/>
      <c r="T22" s="42">
        <f>(Q22-1328)*1.08+1328</f>
        <v>3139.9808000000003</v>
      </c>
      <c r="U22" s="42">
        <f>(T22-1328)*1.08+1328</f>
        <v>3284.9392640000005</v>
      </c>
      <c r="V22" s="46" t="s">
        <v>44</v>
      </c>
      <c r="W22" s="37">
        <f>J22/I22*100</f>
        <v>35.81718827620467</v>
      </c>
      <c r="X22" s="37">
        <f>N22/J22*100</f>
        <v>80.33287101248267</v>
      </c>
    </row>
    <row r="23" spans="1:24" ht="12.75">
      <c r="A23" s="39"/>
      <c r="B23" s="40"/>
      <c r="C23" s="39"/>
      <c r="D23" s="41"/>
      <c r="E23" s="39"/>
      <c r="F23" s="39">
        <v>151</v>
      </c>
      <c r="G23" s="39" t="s">
        <v>45</v>
      </c>
      <c r="H23" s="42">
        <v>1021</v>
      </c>
      <c r="I23" s="42">
        <v>412</v>
      </c>
      <c r="J23" s="42">
        <v>443</v>
      </c>
      <c r="K23" s="42">
        <v>443</v>
      </c>
      <c r="L23" s="42"/>
      <c r="M23" s="42"/>
      <c r="N23" s="42">
        <v>320</v>
      </c>
      <c r="O23" s="42"/>
      <c r="P23" s="42"/>
      <c r="Q23" s="42">
        <f t="shared" si="5"/>
        <v>342.40000000000003</v>
      </c>
      <c r="R23" s="35">
        <f t="shared" si="0"/>
        <v>107</v>
      </c>
      <c r="S23" s="42"/>
      <c r="T23" s="42">
        <f>Q23*1.08</f>
        <v>369.7920000000001</v>
      </c>
      <c r="U23" s="42">
        <f t="shared" si="6"/>
        <v>399.3753600000001</v>
      </c>
      <c r="V23" s="43"/>
      <c r="W23" s="37">
        <f>J23/I23*100</f>
        <v>107.5242718446602</v>
      </c>
      <c r="X23" s="37">
        <f>N23/J23*100</f>
        <v>72.23476297968398</v>
      </c>
    </row>
    <row r="24" spans="1:24" ht="12.75">
      <c r="A24" s="39"/>
      <c r="B24" s="40"/>
      <c r="C24" s="39"/>
      <c r="D24" s="41"/>
      <c r="E24" s="39"/>
      <c r="F24" s="39">
        <v>159</v>
      </c>
      <c r="G24" s="39" t="s">
        <v>46</v>
      </c>
      <c r="H24" s="42">
        <v>4</v>
      </c>
      <c r="I24" s="42">
        <f>H24+(H24*0.08)</f>
        <v>4.32</v>
      </c>
      <c r="J24" s="42">
        <f>I24+(I24*0.07)</f>
        <v>4.622400000000001</v>
      </c>
      <c r="K24" s="42">
        <v>5</v>
      </c>
      <c r="L24" s="42"/>
      <c r="M24" s="42"/>
      <c r="N24" s="42">
        <v>2</v>
      </c>
      <c r="O24" s="42"/>
      <c r="P24" s="42"/>
      <c r="Q24" s="42">
        <f t="shared" si="5"/>
        <v>2.14</v>
      </c>
      <c r="R24" s="35">
        <f t="shared" si="0"/>
        <v>107</v>
      </c>
      <c r="S24" s="42"/>
      <c r="T24" s="42">
        <f>Q24*1.08</f>
        <v>2.3112000000000004</v>
      </c>
      <c r="U24" s="42">
        <f t="shared" si="6"/>
        <v>2.4960960000000005</v>
      </c>
      <c r="V24" s="43"/>
      <c r="W24" s="37">
        <f>J24/I24*100</f>
        <v>107</v>
      </c>
      <c r="X24" s="37">
        <f>N24/J24*100</f>
        <v>43.267566632052606</v>
      </c>
    </row>
    <row r="25" spans="1:24" ht="25.5">
      <c r="A25" s="39"/>
      <c r="B25" s="40"/>
      <c r="C25" s="39"/>
      <c r="D25" s="41">
        <v>3</v>
      </c>
      <c r="E25" s="39"/>
      <c r="F25" s="39"/>
      <c r="G25" s="51" t="s">
        <v>47</v>
      </c>
      <c r="H25" s="42">
        <f>H26+H27</f>
        <v>210</v>
      </c>
      <c r="I25" s="42">
        <f>I26+I27</f>
        <v>0</v>
      </c>
      <c r="J25" s="42">
        <v>5500</v>
      </c>
      <c r="K25" s="42">
        <v>5500</v>
      </c>
      <c r="L25" s="42"/>
      <c r="M25" s="42"/>
      <c r="N25" s="42">
        <f>N26+N27</f>
        <v>0</v>
      </c>
      <c r="O25" s="42"/>
      <c r="P25" s="42"/>
      <c r="Q25" s="42"/>
      <c r="R25" s="35" t="e">
        <f t="shared" si="0"/>
        <v>#DIV/0!</v>
      </c>
      <c r="S25" s="42"/>
      <c r="T25" s="52"/>
      <c r="U25" s="35"/>
      <c r="V25" s="46" t="s">
        <v>48</v>
      </c>
      <c r="W25" s="37"/>
      <c r="X25" s="37"/>
    </row>
    <row r="26" spans="1:24" ht="25.5">
      <c r="A26" s="39"/>
      <c r="B26" s="40"/>
      <c r="C26" s="39"/>
      <c r="D26" s="41"/>
      <c r="E26" s="39"/>
      <c r="F26" s="39">
        <v>411</v>
      </c>
      <c r="G26" s="39" t="s">
        <v>49</v>
      </c>
      <c r="H26" s="42"/>
      <c r="I26" s="42">
        <f>H26+(H26*0.08)</f>
        <v>0</v>
      </c>
      <c r="J26" s="42">
        <f>I26+(I26*0.075)</f>
        <v>0</v>
      </c>
      <c r="K26" s="42"/>
      <c r="L26" s="42"/>
      <c r="M26" s="42"/>
      <c r="N26" s="42">
        <f>J26+(J26*0.07)</f>
        <v>0</v>
      </c>
      <c r="O26" s="42"/>
      <c r="P26" s="42"/>
      <c r="Q26" s="42"/>
      <c r="R26" s="35" t="e">
        <f t="shared" si="0"/>
        <v>#DIV/0!</v>
      </c>
      <c r="S26" s="42"/>
      <c r="T26" s="52"/>
      <c r="U26" s="35"/>
      <c r="V26" s="46"/>
      <c r="W26" s="37"/>
      <c r="X26" s="37"/>
    </row>
    <row r="27" spans="1:24" ht="12.75">
      <c r="A27" s="39"/>
      <c r="B27" s="40"/>
      <c r="C27" s="39"/>
      <c r="D27" s="41"/>
      <c r="E27" s="39"/>
      <c r="F27" s="39">
        <v>452</v>
      </c>
      <c r="G27" s="39" t="s">
        <v>50</v>
      </c>
      <c r="H27" s="42">
        <v>210</v>
      </c>
      <c r="I27" s="42"/>
      <c r="J27" s="42">
        <f>I27+(I27*0.075)</f>
        <v>0</v>
      </c>
      <c r="K27" s="42"/>
      <c r="L27" s="42"/>
      <c r="M27" s="42"/>
      <c r="N27" s="42">
        <f>J27+(J27*0.07)</f>
        <v>0</v>
      </c>
      <c r="O27" s="42"/>
      <c r="P27" s="42"/>
      <c r="Q27" s="42"/>
      <c r="R27" s="35" t="e">
        <f t="shared" si="0"/>
        <v>#DIV/0!</v>
      </c>
      <c r="S27" s="42"/>
      <c r="T27" s="52"/>
      <c r="U27" s="35"/>
      <c r="V27" s="46"/>
      <c r="W27" s="37"/>
      <c r="X27" s="37"/>
    </row>
    <row r="28" spans="1:24" ht="25.5">
      <c r="A28" s="39"/>
      <c r="B28" s="40"/>
      <c r="C28" s="39"/>
      <c r="D28" s="41">
        <v>4</v>
      </c>
      <c r="E28" s="39"/>
      <c r="F28" s="39"/>
      <c r="G28" s="51" t="s">
        <v>51</v>
      </c>
      <c r="H28" s="42"/>
      <c r="I28" s="42">
        <v>200</v>
      </c>
      <c r="J28" s="42"/>
      <c r="K28" s="42"/>
      <c r="L28" s="42"/>
      <c r="M28" s="42"/>
      <c r="N28" s="42"/>
      <c r="O28" s="42"/>
      <c r="P28" s="42"/>
      <c r="Q28" s="42"/>
      <c r="R28" s="35" t="e">
        <f t="shared" si="0"/>
        <v>#DIV/0!</v>
      </c>
      <c r="S28" s="42"/>
      <c r="T28" s="52"/>
      <c r="U28" s="35"/>
      <c r="V28" s="46"/>
      <c r="W28" s="37"/>
      <c r="X28" s="37"/>
    </row>
    <row r="29" spans="1:24" ht="25.5">
      <c r="A29" s="39"/>
      <c r="B29" s="40"/>
      <c r="C29" s="39"/>
      <c r="D29" s="41"/>
      <c r="E29" s="39"/>
      <c r="F29" s="39">
        <v>411</v>
      </c>
      <c r="G29" s="39" t="s">
        <v>52</v>
      </c>
      <c r="H29" s="42"/>
      <c r="I29" s="42"/>
      <c r="J29" s="42">
        <v>5500</v>
      </c>
      <c r="K29" s="42">
        <v>5500</v>
      </c>
      <c r="L29" s="42"/>
      <c r="M29" s="42"/>
      <c r="N29" s="42"/>
      <c r="O29" s="42"/>
      <c r="P29" s="42"/>
      <c r="Q29" s="42"/>
      <c r="R29" s="35" t="e">
        <f t="shared" si="0"/>
        <v>#DIV/0!</v>
      </c>
      <c r="S29" s="42"/>
      <c r="T29" s="52"/>
      <c r="U29" s="35"/>
      <c r="V29" s="46"/>
      <c r="W29" s="37"/>
      <c r="X29" s="37"/>
    </row>
    <row r="30" spans="1:24" ht="12.75">
      <c r="A30" s="39"/>
      <c r="B30" s="40"/>
      <c r="C30" s="39">
        <v>122</v>
      </c>
      <c r="D30" s="41"/>
      <c r="E30" s="39"/>
      <c r="F30" s="39"/>
      <c r="G30" s="39" t="s">
        <v>53</v>
      </c>
      <c r="H30" s="42" t="e">
        <f>H31</f>
        <v>#REF!</v>
      </c>
      <c r="I30" s="42">
        <f>I31</f>
        <v>67518.785</v>
      </c>
      <c r="J30" s="42">
        <f>J31</f>
        <v>79754.207</v>
      </c>
      <c r="K30" s="42"/>
      <c r="L30" s="42"/>
      <c r="M30" s="42"/>
      <c r="N30" s="42">
        <f>N31</f>
        <v>91164.504</v>
      </c>
      <c r="O30" s="42"/>
      <c r="P30" s="42"/>
      <c r="Q30" s="42">
        <f>Q31</f>
        <v>76138.4944</v>
      </c>
      <c r="R30" s="35">
        <f t="shared" si="0"/>
        <v>83.5176971949521</v>
      </c>
      <c r="S30" s="42"/>
      <c r="T30" s="42">
        <f>T31</f>
        <v>76580.89987200001</v>
      </c>
      <c r="U30" s="42">
        <f>U31</f>
        <v>78565.37778176002</v>
      </c>
      <c r="V30" s="46"/>
      <c r="W30" s="37">
        <f aca="true" t="shared" si="7" ref="W30:W39">J30/I30*100</f>
        <v>118.12150796256182</v>
      </c>
      <c r="X30" s="37">
        <f aca="true" t="shared" si="8" ref="X30:X39">N30/J30*100</f>
        <v>114.30682772634178</v>
      </c>
    </row>
    <row r="31" spans="1:24" ht="25.5">
      <c r="A31" s="39"/>
      <c r="B31" s="40"/>
      <c r="C31" s="39"/>
      <c r="D31" s="41">
        <v>1</v>
      </c>
      <c r="E31" s="39"/>
      <c r="F31" s="39"/>
      <c r="G31" s="45" t="s">
        <v>54</v>
      </c>
      <c r="H31" s="42" t="e">
        <f>#REF!</f>
        <v>#REF!</v>
      </c>
      <c r="I31" s="42">
        <f>SUM(I32:I41)</f>
        <v>67518.785</v>
      </c>
      <c r="J31" s="42">
        <f>SUM(J32:J41)</f>
        <v>79754.207</v>
      </c>
      <c r="K31" s="42">
        <f>SUM(K32:K41)</f>
        <v>79754</v>
      </c>
      <c r="L31" s="42">
        <v>84101</v>
      </c>
      <c r="M31" s="42">
        <v>84973</v>
      </c>
      <c r="N31" s="42">
        <f>SUM(N32:N41)</f>
        <v>91164.504</v>
      </c>
      <c r="O31" s="42"/>
      <c r="P31" s="42"/>
      <c r="Q31" s="42">
        <f>SUM(Q32:Q41)+2200</f>
        <v>76138.4944</v>
      </c>
      <c r="R31" s="35">
        <f t="shared" si="0"/>
        <v>83.5176971949521</v>
      </c>
      <c r="S31" s="42"/>
      <c r="T31" s="42">
        <f>SUM(T32:T41)+800</f>
        <v>76580.89987200001</v>
      </c>
      <c r="U31" s="42">
        <f>SUM(U32:U41)+800</f>
        <v>78565.37778176002</v>
      </c>
      <c r="V31" s="46" t="s">
        <v>55</v>
      </c>
      <c r="W31" s="37">
        <f t="shared" si="7"/>
        <v>118.12150796256182</v>
      </c>
      <c r="X31" s="37">
        <f t="shared" si="8"/>
        <v>114.30682772634178</v>
      </c>
    </row>
    <row r="32" spans="1:24" ht="12.75">
      <c r="A32" s="39"/>
      <c r="B32" s="40"/>
      <c r="C32" s="39"/>
      <c r="D32" s="41"/>
      <c r="E32" s="39"/>
      <c r="F32" s="39">
        <v>111</v>
      </c>
      <c r="G32" s="39" t="s">
        <v>33</v>
      </c>
      <c r="H32" s="42">
        <v>21430</v>
      </c>
      <c r="I32" s="42">
        <v>23715</v>
      </c>
      <c r="J32" s="42">
        <v>28093</v>
      </c>
      <c r="K32" s="42">
        <v>28093</v>
      </c>
      <c r="L32" s="42"/>
      <c r="M32" s="42"/>
      <c r="N32" s="42">
        <v>32096</v>
      </c>
      <c r="O32" s="42">
        <v>32096</v>
      </c>
      <c r="P32" s="42"/>
      <c r="Q32" s="42">
        <v>32096</v>
      </c>
      <c r="R32" s="35">
        <f t="shared" si="0"/>
        <v>100</v>
      </c>
      <c r="S32" s="42"/>
      <c r="T32" s="42">
        <v>32096</v>
      </c>
      <c r="U32" s="42">
        <v>32096</v>
      </c>
      <c r="V32" s="46"/>
      <c r="W32" s="37">
        <f t="shared" si="7"/>
        <v>118.46088973223698</v>
      </c>
      <c r="X32" s="37">
        <f t="shared" si="8"/>
        <v>114.24910119958709</v>
      </c>
    </row>
    <row r="33" spans="1:24" ht="12.75">
      <c r="A33" s="39"/>
      <c r="B33" s="40"/>
      <c r="C33" s="39"/>
      <c r="D33" s="41"/>
      <c r="E33" s="39"/>
      <c r="F33" s="39">
        <v>113</v>
      </c>
      <c r="G33" s="39" t="s">
        <v>35</v>
      </c>
      <c r="H33" s="42">
        <v>3573</v>
      </c>
      <c r="I33" s="42">
        <v>3952</v>
      </c>
      <c r="J33" s="42">
        <v>4682</v>
      </c>
      <c r="K33" s="42">
        <v>4415</v>
      </c>
      <c r="L33" s="42"/>
      <c r="M33" s="42"/>
      <c r="N33" s="42">
        <v>5349</v>
      </c>
      <c r="O33" s="42">
        <v>5349</v>
      </c>
      <c r="P33" s="42"/>
      <c r="Q33" s="42">
        <v>5349</v>
      </c>
      <c r="R33" s="35">
        <f t="shared" si="0"/>
        <v>100</v>
      </c>
      <c r="S33" s="42"/>
      <c r="T33" s="42">
        <v>5349</v>
      </c>
      <c r="U33" s="42">
        <v>5349</v>
      </c>
      <c r="V33" s="46"/>
      <c r="W33" s="37">
        <f t="shared" si="7"/>
        <v>118.47165991902835</v>
      </c>
      <c r="X33" s="37">
        <f t="shared" si="8"/>
        <v>114.24604869713797</v>
      </c>
    </row>
    <row r="34" spans="1:24" ht="12.75">
      <c r="A34" s="39"/>
      <c r="B34" s="40"/>
      <c r="C34" s="39"/>
      <c r="D34" s="41"/>
      <c r="E34" s="39"/>
      <c r="F34" s="39">
        <v>121</v>
      </c>
      <c r="G34" s="39" t="s">
        <v>36</v>
      </c>
      <c r="H34" s="42">
        <v>1350</v>
      </c>
      <c r="I34" s="42">
        <f>(I32-(I32*0.1))*0.06</f>
        <v>1280.61</v>
      </c>
      <c r="J34" s="42">
        <f>(J32-(J32*0.1))*0.06</f>
        <v>1517.022</v>
      </c>
      <c r="K34" s="42">
        <v>1517</v>
      </c>
      <c r="L34" s="42"/>
      <c r="M34" s="42"/>
      <c r="N34" s="42">
        <f>(N32-(N32*0.1))*0.06</f>
        <v>1733.184</v>
      </c>
      <c r="O34" s="42"/>
      <c r="P34" s="42"/>
      <c r="Q34" s="42">
        <f>(Q32-(Q32*0.1))*0.06</f>
        <v>1733.184</v>
      </c>
      <c r="R34" s="35">
        <f t="shared" si="0"/>
        <v>100</v>
      </c>
      <c r="S34" s="42"/>
      <c r="T34" s="42">
        <f>(T32-(T32*0.1))*0.06</f>
        <v>1733.184</v>
      </c>
      <c r="U34" s="42">
        <f>(U32-(U32*0.1))*0.06</f>
        <v>1733.184</v>
      </c>
      <c r="V34" s="46"/>
      <c r="W34" s="37">
        <f t="shared" si="7"/>
        <v>118.46088973223698</v>
      </c>
      <c r="X34" s="37">
        <f t="shared" si="8"/>
        <v>114.24910119958709</v>
      </c>
    </row>
    <row r="35" spans="1:24" ht="25.5">
      <c r="A35" s="39"/>
      <c r="B35" s="40"/>
      <c r="C35" s="39"/>
      <c r="D35" s="41"/>
      <c r="E35" s="39"/>
      <c r="F35" s="39">
        <v>122</v>
      </c>
      <c r="G35" s="39" t="s">
        <v>37</v>
      </c>
      <c r="H35" s="42">
        <v>772</v>
      </c>
      <c r="I35" s="42">
        <f>(I32-(I32*0.1))*0.05</f>
        <v>1067.175</v>
      </c>
      <c r="J35" s="42">
        <f>(J32-(J32*0.1))*0.05</f>
        <v>1264.1850000000002</v>
      </c>
      <c r="K35" s="42">
        <v>1264</v>
      </c>
      <c r="L35" s="42"/>
      <c r="M35" s="42"/>
      <c r="N35" s="42">
        <f>(N32-(N32*0.1))*0.05</f>
        <v>1444.3200000000002</v>
      </c>
      <c r="O35" s="42"/>
      <c r="P35" s="42"/>
      <c r="Q35" s="42">
        <f>(Q32-(Q32*0.1))*0.05</f>
        <v>1444.3200000000002</v>
      </c>
      <c r="R35" s="35">
        <f t="shared" si="0"/>
        <v>100</v>
      </c>
      <c r="S35" s="42"/>
      <c r="T35" s="42">
        <f>(T32-(T32*0.1))*0.05</f>
        <v>1444.3200000000002</v>
      </c>
      <c r="U35" s="42">
        <f>(U32-(U32*0.1))*0.05</f>
        <v>1444.3200000000002</v>
      </c>
      <c r="V35" s="46"/>
      <c r="W35" s="37">
        <f t="shared" si="7"/>
        <v>118.460889732237</v>
      </c>
      <c r="X35" s="37">
        <f t="shared" si="8"/>
        <v>114.24910119958709</v>
      </c>
    </row>
    <row r="36" spans="1:24" ht="12.75">
      <c r="A36" s="39"/>
      <c r="B36" s="40"/>
      <c r="C36" s="39"/>
      <c r="D36" s="41"/>
      <c r="E36" s="39"/>
      <c r="F36" s="39">
        <v>139</v>
      </c>
      <c r="G36" s="39" t="s">
        <v>39</v>
      </c>
      <c r="H36" s="42">
        <v>6000</v>
      </c>
      <c r="I36" s="42">
        <v>4150</v>
      </c>
      <c r="J36" s="42">
        <v>3295</v>
      </c>
      <c r="K36" s="42">
        <v>3085</v>
      </c>
      <c r="L36" s="42"/>
      <c r="M36" s="42"/>
      <c r="N36" s="42">
        <v>2652</v>
      </c>
      <c r="O36" s="42"/>
      <c r="P36" s="42"/>
      <c r="Q36" s="42">
        <f>N36*1.07</f>
        <v>2837.6400000000003</v>
      </c>
      <c r="R36" s="35">
        <f t="shared" si="0"/>
        <v>107</v>
      </c>
      <c r="S36" s="42"/>
      <c r="T36" s="47">
        <f>Q36*1.08</f>
        <v>3064.6512000000007</v>
      </c>
      <c r="U36" s="47">
        <f>T36*1.08</f>
        <v>3309.823296000001</v>
      </c>
      <c r="V36" s="46"/>
      <c r="W36" s="37">
        <f t="shared" si="7"/>
        <v>79.39759036144578</v>
      </c>
      <c r="X36" s="37">
        <f t="shared" si="8"/>
        <v>80.4855842185129</v>
      </c>
    </row>
    <row r="37" spans="1:24" ht="12.75">
      <c r="A37" s="39"/>
      <c r="B37" s="40"/>
      <c r="C37" s="39"/>
      <c r="D37" s="41"/>
      <c r="E37" s="39"/>
      <c r="F37" s="39">
        <v>142</v>
      </c>
      <c r="G37" s="39" t="s">
        <v>40</v>
      </c>
      <c r="H37" s="42">
        <v>1603</v>
      </c>
      <c r="I37" s="42">
        <v>2172</v>
      </c>
      <c r="J37" s="42">
        <v>3533</v>
      </c>
      <c r="K37" s="42">
        <v>3533</v>
      </c>
      <c r="L37" s="42"/>
      <c r="M37" s="42"/>
      <c r="N37" s="42">
        <v>2200</v>
      </c>
      <c r="O37" s="42"/>
      <c r="P37" s="42"/>
      <c r="Q37" s="42">
        <f>N37*1.07</f>
        <v>2354</v>
      </c>
      <c r="R37" s="35">
        <f t="shared" si="0"/>
        <v>107</v>
      </c>
      <c r="S37" s="42"/>
      <c r="T37" s="47">
        <f>Q37*1.08</f>
        <v>2542.32</v>
      </c>
      <c r="U37" s="47">
        <f>T37*1.08</f>
        <v>2745.7056000000002</v>
      </c>
      <c r="V37" s="46"/>
      <c r="W37" s="37">
        <f t="shared" si="7"/>
        <v>162.6611418047882</v>
      </c>
      <c r="X37" s="37">
        <f t="shared" si="8"/>
        <v>62.27002547410133</v>
      </c>
    </row>
    <row r="38" spans="1:24" ht="12.75">
      <c r="A38" s="39"/>
      <c r="B38" s="40"/>
      <c r="C38" s="39"/>
      <c r="D38" s="41"/>
      <c r="E38" s="39"/>
      <c r="F38" s="39">
        <v>149</v>
      </c>
      <c r="G38" s="39" t="s">
        <v>43</v>
      </c>
      <c r="H38" s="42">
        <v>14990</v>
      </c>
      <c r="I38" s="42">
        <v>30400</v>
      </c>
      <c r="J38" s="42">
        <v>35761</v>
      </c>
      <c r="K38" s="42">
        <v>35824</v>
      </c>
      <c r="L38" s="42"/>
      <c r="M38" s="42"/>
      <c r="N38" s="42">
        <v>43255</v>
      </c>
      <c r="O38" s="42"/>
      <c r="P38" s="42"/>
      <c r="Q38" s="42">
        <f>5078+Q42</f>
        <v>25518.9004</v>
      </c>
      <c r="R38" s="35">
        <f t="shared" si="0"/>
        <v>58.99641752398567</v>
      </c>
      <c r="S38" s="42"/>
      <c r="T38" s="47">
        <f>5382+T42</f>
        <v>26737.538672000002</v>
      </c>
      <c r="U38" s="35">
        <f>5705+U42</f>
        <v>28048.348005760003</v>
      </c>
      <c r="V38" s="48" t="s">
        <v>56</v>
      </c>
      <c r="W38" s="37">
        <f t="shared" si="7"/>
        <v>117.63486842105264</v>
      </c>
      <c r="X38" s="37">
        <f t="shared" si="8"/>
        <v>120.9557898269064</v>
      </c>
    </row>
    <row r="39" spans="1:24" ht="12.75">
      <c r="A39" s="39"/>
      <c r="B39" s="40"/>
      <c r="C39" s="39"/>
      <c r="D39" s="41"/>
      <c r="E39" s="39"/>
      <c r="F39" s="39">
        <v>151</v>
      </c>
      <c r="G39" s="39" t="s">
        <v>45</v>
      </c>
      <c r="H39" s="42">
        <v>980</v>
      </c>
      <c r="I39" s="42">
        <v>758</v>
      </c>
      <c r="J39" s="42">
        <v>1597</v>
      </c>
      <c r="K39" s="42">
        <v>1968</v>
      </c>
      <c r="L39" s="42"/>
      <c r="M39" s="42"/>
      <c r="N39" s="42">
        <v>2423</v>
      </c>
      <c r="O39" s="42"/>
      <c r="P39" s="42"/>
      <c r="Q39" s="42">
        <f>N39*1.07</f>
        <v>2592.61</v>
      </c>
      <c r="R39" s="35">
        <f t="shared" si="0"/>
        <v>107</v>
      </c>
      <c r="S39" s="42"/>
      <c r="T39" s="47">
        <f>Q39*1.08</f>
        <v>2800.0188000000003</v>
      </c>
      <c r="U39" s="47">
        <f>T39*1.08</f>
        <v>3024.0203040000006</v>
      </c>
      <c r="V39" s="46"/>
      <c r="W39" s="37">
        <f t="shared" si="7"/>
        <v>210.68601583113457</v>
      </c>
      <c r="X39" s="37">
        <f t="shared" si="8"/>
        <v>151.7219787100814</v>
      </c>
    </row>
    <row r="40" spans="1:24" ht="12.75">
      <c r="A40" s="39"/>
      <c r="B40" s="40"/>
      <c r="C40" s="39"/>
      <c r="D40" s="41"/>
      <c r="E40" s="39"/>
      <c r="F40" s="39">
        <v>155</v>
      </c>
      <c r="G40" s="39"/>
      <c r="H40" s="42"/>
      <c r="I40" s="42"/>
      <c r="J40" s="42"/>
      <c r="K40" s="42">
        <v>43</v>
      </c>
      <c r="L40" s="42"/>
      <c r="M40" s="42"/>
      <c r="N40" s="42"/>
      <c r="O40" s="42"/>
      <c r="P40" s="42"/>
      <c r="Q40" s="42"/>
      <c r="R40" s="35" t="e">
        <f t="shared" si="0"/>
        <v>#DIV/0!</v>
      </c>
      <c r="S40" s="42"/>
      <c r="T40" s="47"/>
      <c r="U40" s="47"/>
      <c r="V40" s="46"/>
      <c r="W40" s="37"/>
      <c r="X40" s="37"/>
    </row>
    <row r="41" spans="1:24" ht="12.75">
      <c r="A41" s="39"/>
      <c r="B41" s="40"/>
      <c r="C41" s="39"/>
      <c r="D41" s="41"/>
      <c r="E41" s="39"/>
      <c r="F41" s="39">
        <v>159</v>
      </c>
      <c r="G41" s="39" t="s">
        <v>46</v>
      </c>
      <c r="H41" s="42">
        <v>86</v>
      </c>
      <c r="I41" s="42">
        <v>24</v>
      </c>
      <c r="J41" s="42">
        <v>12</v>
      </c>
      <c r="K41" s="42">
        <v>12</v>
      </c>
      <c r="L41" s="42"/>
      <c r="M41" s="42"/>
      <c r="N41" s="42">
        <v>12</v>
      </c>
      <c r="O41" s="42"/>
      <c r="P41" s="42"/>
      <c r="Q41" s="42">
        <f>N41*1.07</f>
        <v>12.84</v>
      </c>
      <c r="R41" s="35">
        <f t="shared" si="0"/>
        <v>107</v>
      </c>
      <c r="S41" s="42"/>
      <c r="T41" s="47">
        <f>Q41*1.08</f>
        <v>13.8672</v>
      </c>
      <c r="U41" s="47">
        <f>T41*1.08</f>
        <v>14.976576000000001</v>
      </c>
      <c r="V41" s="46"/>
      <c r="W41" s="37">
        <f aca="true" t="shared" si="9" ref="W41:W49">J41/I41*100</f>
        <v>50</v>
      </c>
      <c r="X41" s="37">
        <f aca="true" t="shared" si="10" ref="X41:X49">N41/J41*100</f>
        <v>100</v>
      </c>
    </row>
    <row r="42" spans="1:24" ht="25.5">
      <c r="A42" s="39"/>
      <c r="B42" s="40"/>
      <c r="C42" s="39"/>
      <c r="D42" s="41"/>
      <c r="E42" s="39"/>
      <c r="F42" s="39"/>
      <c r="G42" s="39" t="s">
        <v>57</v>
      </c>
      <c r="H42" s="42"/>
      <c r="I42" s="42">
        <f>SUM(I45:I54)</f>
        <v>23117.078</v>
      </c>
      <c r="J42" s="42">
        <f>SUM(J45:J54)</f>
        <v>28582.924</v>
      </c>
      <c r="K42" s="42"/>
      <c r="L42" s="42"/>
      <c r="M42" s="42"/>
      <c r="N42" s="42">
        <f>SUM(N45:N54)</f>
        <v>36794.405999999995</v>
      </c>
      <c r="O42" s="42"/>
      <c r="P42" s="42"/>
      <c r="Q42" s="42">
        <f>SUM(Q45:Q54)</f>
        <v>20440.9004</v>
      </c>
      <c r="R42" s="35">
        <f t="shared" si="0"/>
        <v>55.554369868071795</v>
      </c>
      <c r="S42" s="42"/>
      <c r="T42" s="42">
        <f>SUM(T45:T54)</f>
        <v>21355.538672000002</v>
      </c>
      <c r="U42" s="35">
        <f>SUM(U45:U54)</f>
        <v>22343.348005760003</v>
      </c>
      <c r="V42" s="46"/>
      <c r="W42" s="37">
        <f t="shared" si="9"/>
        <v>123.64419067150267</v>
      </c>
      <c r="X42" s="37">
        <f t="shared" si="10"/>
        <v>128.72862832368023</v>
      </c>
    </row>
    <row r="43" spans="1:24" ht="12.75">
      <c r="A43" s="39"/>
      <c r="B43" s="40"/>
      <c r="C43" s="39"/>
      <c r="D43" s="41"/>
      <c r="E43" s="39"/>
      <c r="F43" s="39">
        <v>149</v>
      </c>
      <c r="G43" s="39" t="s">
        <v>43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35" t="e">
        <f t="shared" si="0"/>
        <v>#DIV/0!</v>
      </c>
      <c r="S43" s="42"/>
      <c r="T43" s="52"/>
      <c r="U43" s="35"/>
      <c r="V43" s="46"/>
      <c r="W43" s="37" t="e">
        <f t="shared" si="9"/>
        <v>#DIV/0!</v>
      </c>
      <c r="X43" s="37" t="e">
        <f t="shared" si="10"/>
        <v>#DIV/0!</v>
      </c>
    </row>
    <row r="44" spans="1:24" ht="12.75">
      <c r="A44" s="39"/>
      <c r="B44" s="40"/>
      <c r="C44" s="39"/>
      <c r="D44" s="41"/>
      <c r="E44" s="39"/>
      <c r="F44" s="39"/>
      <c r="G44" s="39" t="s">
        <v>58</v>
      </c>
      <c r="H44" s="42"/>
      <c r="I44" s="42"/>
      <c r="J44" s="42">
        <f>SUM(J45:J54)</f>
        <v>28582.924</v>
      </c>
      <c r="K44" s="42">
        <f aca="true" t="shared" si="11" ref="K44:U44">SUM(K45:K54)</f>
        <v>0</v>
      </c>
      <c r="L44" s="42">
        <f t="shared" si="11"/>
        <v>0</v>
      </c>
      <c r="M44" s="42">
        <f t="shared" si="11"/>
        <v>0</v>
      </c>
      <c r="N44" s="42">
        <f t="shared" si="11"/>
        <v>36794.405999999995</v>
      </c>
      <c r="O44" s="42">
        <f t="shared" si="11"/>
        <v>0</v>
      </c>
      <c r="P44" s="42"/>
      <c r="Q44" s="42">
        <f t="shared" si="11"/>
        <v>20440.9004</v>
      </c>
      <c r="R44" s="35">
        <f t="shared" si="0"/>
        <v>55.554369868071795</v>
      </c>
      <c r="S44" s="42"/>
      <c r="T44" s="42">
        <f t="shared" si="11"/>
        <v>21355.538672000002</v>
      </c>
      <c r="U44" s="42">
        <f t="shared" si="11"/>
        <v>22343.348005760003</v>
      </c>
      <c r="V44" s="46"/>
      <c r="W44" s="37" t="e">
        <f t="shared" si="9"/>
        <v>#DIV/0!</v>
      </c>
      <c r="X44" s="37">
        <f t="shared" si="10"/>
        <v>128.72862832368023</v>
      </c>
    </row>
    <row r="45" spans="1:24" ht="25.5">
      <c r="A45" s="39"/>
      <c r="B45" s="40"/>
      <c r="C45" s="39"/>
      <c r="D45" s="41"/>
      <c r="E45" s="39"/>
      <c r="F45" s="39">
        <v>111</v>
      </c>
      <c r="G45" s="39" t="s">
        <v>33</v>
      </c>
      <c r="H45" s="42"/>
      <c r="I45" s="42">
        <f>13220-98</f>
        <v>13122</v>
      </c>
      <c r="J45" s="42">
        <v>17676</v>
      </c>
      <c r="K45" s="42"/>
      <c r="L45" s="42"/>
      <c r="M45" s="42"/>
      <c r="N45" s="42">
        <f>18954+3000</f>
        <v>21954</v>
      </c>
      <c r="O45" s="42"/>
      <c r="P45" s="42"/>
      <c r="Q45" s="42">
        <v>7878</v>
      </c>
      <c r="R45" s="35">
        <f t="shared" si="0"/>
        <v>35.88412134462968</v>
      </c>
      <c r="S45" s="42"/>
      <c r="T45" s="42">
        <v>7878</v>
      </c>
      <c r="U45" s="35">
        <v>7878</v>
      </c>
      <c r="V45" s="46" t="s">
        <v>59</v>
      </c>
      <c r="W45" s="37">
        <f t="shared" si="9"/>
        <v>134.7050754458162</v>
      </c>
      <c r="X45" s="37">
        <f t="shared" si="10"/>
        <v>124.20230821452817</v>
      </c>
    </row>
    <row r="46" spans="1:24" ht="12.75">
      <c r="A46" s="39"/>
      <c r="B46" s="40"/>
      <c r="C46" s="39"/>
      <c r="D46" s="41"/>
      <c r="E46" s="39"/>
      <c r="F46" s="39">
        <v>113</v>
      </c>
      <c r="G46" s="39" t="s">
        <v>35</v>
      </c>
      <c r="H46" s="42"/>
      <c r="I46" s="42">
        <v>218</v>
      </c>
      <c r="J46" s="42">
        <v>429</v>
      </c>
      <c r="K46" s="42"/>
      <c r="L46" s="42"/>
      <c r="M46" s="42"/>
      <c r="N46" s="42">
        <f>J46+407</f>
        <v>836</v>
      </c>
      <c r="O46" s="42"/>
      <c r="P46" s="42"/>
      <c r="Q46" s="42">
        <v>350</v>
      </c>
      <c r="R46" s="35">
        <f t="shared" si="0"/>
        <v>41.866028708133975</v>
      </c>
      <c r="S46" s="42"/>
      <c r="T46" s="42">
        <f>Q46</f>
        <v>350</v>
      </c>
      <c r="U46" s="35">
        <v>350</v>
      </c>
      <c r="V46" s="46"/>
      <c r="W46" s="37">
        <f t="shared" si="9"/>
        <v>196.78899082568807</v>
      </c>
      <c r="X46" s="37">
        <f t="shared" si="10"/>
        <v>194.87179487179486</v>
      </c>
    </row>
    <row r="47" spans="1:24" ht="12.75">
      <c r="A47" s="39"/>
      <c r="B47" s="40"/>
      <c r="C47" s="39"/>
      <c r="D47" s="41"/>
      <c r="E47" s="39"/>
      <c r="F47" s="39">
        <v>121</v>
      </c>
      <c r="G47" s="39" t="s">
        <v>36</v>
      </c>
      <c r="H47" s="42"/>
      <c r="I47" s="42">
        <f>(I45-(I45*0.1))*0.06</f>
        <v>708.588</v>
      </c>
      <c r="J47" s="42">
        <f>(J45-(J45*0.1))*0.06</f>
        <v>954.5039999999999</v>
      </c>
      <c r="K47" s="42"/>
      <c r="L47" s="42"/>
      <c r="M47" s="42"/>
      <c r="N47" s="42">
        <f>(N45-(N45*0.1))*0.06</f>
        <v>1185.5159999999998</v>
      </c>
      <c r="O47" s="42"/>
      <c r="P47" s="42"/>
      <c r="Q47" s="42">
        <f>(Q45-(Q45*0.1))*0.06</f>
        <v>425.412</v>
      </c>
      <c r="R47" s="35">
        <f t="shared" si="0"/>
        <v>35.88412134462968</v>
      </c>
      <c r="S47" s="42"/>
      <c r="T47" s="42">
        <f>(T45-(T45*0.1))*0.06</f>
        <v>425.412</v>
      </c>
      <c r="U47" s="42">
        <f>(U45-(U45*0.1))*0.06</f>
        <v>425.412</v>
      </c>
      <c r="V47" s="46"/>
      <c r="W47" s="37">
        <f t="shared" si="9"/>
        <v>134.7050754458162</v>
      </c>
      <c r="X47" s="37">
        <f t="shared" si="10"/>
        <v>124.20230821452817</v>
      </c>
    </row>
    <row r="48" spans="1:24" ht="25.5">
      <c r="A48" s="39"/>
      <c r="B48" s="40"/>
      <c r="C48" s="39"/>
      <c r="D48" s="41"/>
      <c r="E48" s="39"/>
      <c r="F48" s="39">
        <v>122</v>
      </c>
      <c r="G48" s="39" t="s">
        <v>37</v>
      </c>
      <c r="H48" s="42"/>
      <c r="I48" s="42">
        <f>(I45-(I45*0.1))*0.05</f>
        <v>590.49</v>
      </c>
      <c r="J48" s="42">
        <f>(J45-(J45*0.1))*0.05</f>
        <v>795.4200000000001</v>
      </c>
      <c r="K48" s="42"/>
      <c r="L48" s="42"/>
      <c r="M48" s="42"/>
      <c r="N48" s="42">
        <f>(N45-(N45*0.1))*0.05</f>
        <v>987.93</v>
      </c>
      <c r="O48" s="42"/>
      <c r="P48" s="42"/>
      <c r="Q48" s="42">
        <f>(Q45-(Q45*0.1))*0.05</f>
        <v>354.51</v>
      </c>
      <c r="R48" s="35">
        <f t="shared" si="0"/>
        <v>35.88412134462968</v>
      </c>
      <c r="S48" s="42"/>
      <c r="T48" s="42">
        <f>(T45-(T45*0.1))*0.05</f>
        <v>354.51</v>
      </c>
      <c r="U48" s="42">
        <f>(U45-(U45*0.1))*0.05</f>
        <v>354.51</v>
      </c>
      <c r="V48" s="46"/>
      <c r="W48" s="37">
        <f t="shared" si="9"/>
        <v>134.7050754458162</v>
      </c>
      <c r="X48" s="37">
        <f t="shared" si="10"/>
        <v>124.20230821452816</v>
      </c>
    </row>
    <row r="49" spans="1:24" ht="38.25">
      <c r="A49" s="39"/>
      <c r="B49" s="40"/>
      <c r="C49" s="39"/>
      <c r="D49" s="41"/>
      <c r="E49" s="39"/>
      <c r="F49" s="39">
        <v>125</v>
      </c>
      <c r="G49" s="39" t="s">
        <v>38</v>
      </c>
      <c r="H49" s="42">
        <v>40</v>
      </c>
      <c r="I49" s="42"/>
      <c r="J49" s="42">
        <v>48</v>
      </c>
      <c r="K49" s="42"/>
      <c r="L49" s="42"/>
      <c r="M49" s="42"/>
      <c r="N49" s="42">
        <f>J49+(J49*0.07)</f>
        <v>51.36</v>
      </c>
      <c r="O49" s="42"/>
      <c r="P49" s="42"/>
      <c r="Q49" s="42"/>
      <c r="R49" s="35">
        <f t="shared" si="0"/>
        <v>0</v>
      </c>
      <c r="S49" s="42"/>
      <c r="T49" s="42">
        <f>Q49*1.06</f>
        <v>0</v>
      </c>
      <c r="U49" s="35"/>
      <c r="V49" s="46"/>
      <c r="W49" s="37" t="e">
        <f t="shared" si="9"/>
        <v>#DIV/0!</v>
      </c>
      <c r="X49" s="37">
        <f t="shared" si="10"/>
        <v>107</v>
      </c>
    </row>
    <row r="50" spans="1:24" ht="12.75">
      <c r="A50" s="39"/>
      <c r="B50" s="40"/>
      <c r="C50" s="39"/>
      <c r="D50" s="41"/>
      <c r="E50" s="39"/>
      <c r="F50" s="39">
        <v>139</v>
      </c>
      <c r="G50" s="39" t="s">
        <v>39</v>
      </c>
      <c r="H50" s="42"/>
      <c r="I50" s="42">
        <v>1879</v>
      </c>
      <c r="J50" s="42">
        <v>2494</v>
      </c>
      <c r="K50" s="42"/>
      <c r="L50" s="42"/>
      <c r="M50" s="42"/>
      <c r="N50" s="42">
        <f>J50+(J50*0.07)</f>
        <v>2668.58</v>
      </c>
      <c r="O50" s="42"/>
      <c r="P50" s="42"/>
      <c r="Q50" s="42">
        <v>1917</v>
      </c>
      <c r="R50" s="35">
        <f t="shared" si="0"/>
        <v>71.83595770035001</v>
      </c>
      <c r="S50" s="42"/>
      <c r="T50" s="42">
        <f>Q50*1.08</f>
        <v>2070.36</v>
      </c>
      <c r="U50" s="42">
        <f>T50*1.08</f>
        <v>2235.9888</v>
      </c>
      <c r="V50" s="46"/>
      <c r="W50" s="37"/>
      <c r="X50" s="37"/>
    </row>
    <row r="51" spans="1:24" ht="12.75">
      <c r="A51" s="39"/>
      <c r="B51" s="40"/>
      <c r="C51" s="39"/>
      <c r="D51" s="41"/>
      <c r="E51" s="39"/>
      <c r="F51" s="39">
        <v>141</v>
      </c>
      <c r="G51" s="39" t="s">
        <v>60</v>
      </c>
      <c r="H51" s="42">
        <v>3068</v>
      </c>
      <c r="I51" s="42">
        <v>4070</v>
      </c>
      <c r="J51" s="42">
        <v>3416</v>
      </c>
      <c r="K51" s="42"/>
      <c r="L51" s="42"/>
      <c r="M51" s="42"/>
      <c r="N51" s="42">
        <f>J51+(J51*0.07)</f>
        <v>3655.12</v>
      </c>
      <c r="O51" s="42"/>
      <c r="P51" s="42"/>
      <c r="Q51" s="42">
        <f>N51*1.07</f>
        <v>3910.9784</v>
      </c>
      <c r="R51" s="35">
        <f t="shared" si="0"/>
        <v>107</v>
      </c>
      <c r="S51" s="42"/>
      <c r="T51" s="42">
        <f>Q51*1.08</f>
        <v>4223.856672</v>
      </c>
      <c r="U51" s="42">
        <f>T51*1.08</f>
        <v>4561.76520576</v>
      </c>
      <c r="V51" s="46"/>
      <c r="W51" s="37">
        <f>J51/I51*100</f>
        <v>83.93120393120394</v>
      </c>
      <c r="X51" s="37">
        <f>N51/J51*100</f>
        <v>107</v>
      </c>
    </row>
    <row r="52" spans="1:24" ht="12.75">
      <c r="A52" s="39"/>
      <c r="B52" s="40"/>
      <c r="C52" s="39"/>
      <c r="D52" s="41"/>
      <c r="E52" s="39"/>
      <c r="F52" s="39">
        <v>142</v>
      </c>
      <c r="G52" s="39" t="s">
        <v>40</v>
      </c>
      <c r="H52" s="42"/>
      <c r="I52" s="42">
        <v>259</v>
      </c>
      <c r="J52" s="42">
        <v>289</v>
      </c>
      <c r="K52" s="42"/>
      <c r="L52" s="42"/>
      <c r="M52" s="42"/>
      <c r="N52" s="42">
        <f>J52+(J52*0.07)</f>
        <v>309.23</v>
      </c>
      <c r="O52" s="42"/>
      <c r="P52" s="42"/>
      <c r="Q52" s="42"/>
      <c r="R52" s="35">
        <f t="shared" si="0"/>
        <v>0</v>
      </c>
      <c r="S52" s="42"/>
      <c r="T52" s="42">
        <f>Q52*1.08</f>
        <v>0</v>
      </c>
      <c r="U52" s="42">
        <f>T52*1.08</f>
        <v>0</v>
      </c>
      <c r="V52" s="46"/>
      <c r="W52" s="37">
        <f>J52/I52*100</f>
        <v>111.58301158301158</v>
      </c>
      <c r="X52" s="37">
        <f>N52/J52*100</f>
        <v>107</v>
      </c>
    </row>
    <row r="53" spans="1:24" ht="12.75">
      <c r="A53" s="39"/>
      <c r="B53" s="40"/>
      <c r="C53" s="39"/>
      <c r="D53" s="41"/>
      <c r="E53" s="39"/>
      <c r="F53" s="39">
        <v>143</v>
      </c>
      <c r="G53" s="39" t="s">
        <v>41</v>
      </c>
      <c r="H53" s="42"/>
      <c r="I53" s="42">
        <v>840</v>
      </c>
      <c r="J53" s="42">
        <v>900</v>
      </c>
      <c r="K53" s="42"/>
      <c r="L53" s="42"/>
      <c r="M53" s="42"/>
      <c r="N53" s="42">
        <f>J53+(J53*0.07)</f>
        <v>963</v>
      </c>
      <c r="O53" s="42"/>
      <c r="P53" s="42"/>
      <c r="Q53" s="42"/>
      <c r="R53" s="35">
        <f t="shared" si="0"/>
        <v>0</v>
      </c>
      <c r="S53" s="42"/>
      <c r="T53" s="42">
        <f>Q53*1.08</f>
        <v>0</v>
      </c>
      <c r="U53" s="42">
        <f>T53*1.08</f>
        <v>0</v>
      </c>
      <c r="V53" s="46"/>
      <c r="W53" s="37">
        <f>J53/I53*100</f>
        <v>107.14285714285714</v>
      </c>
      <c r="X53" s="37">
        <f>N53/J53*100</f>
        <v>107</v>
      </c>
    </row>
    <row r="54" spans="1:24" ht="12.75">
      <c r="A54" s="39"/>
      <c r="B54" s="40"/>
      <c r="C54" s="39"/>
      <c r="D54" s="41"/>
      <c r="E54" s="39"/>
      <c r="F54" s="39">
        <v>149</v>
      </c>
      <c r="G54" s="39" t="s">
        <v>43</v>
      </c>
      <c r="H54" s="42"/>
      <c r="I54" s="42">
        <v>1430</v>
      </c>
      <c r="J54" s="42">
        <v>1581</v>
      </c>
      <c r="K54" s="42"/>
      <c r="L54" s="42"/>
      <c r="M54" s="42"/>
      <c r="N54" s="42">
        <f>J54+(J54*0.07)+2492</f>
        <v>4183.67</v>
      </c>
      <c r="O54" s="42"/>
      <c r="P54" s="42"/>
      <c r="Q54" s="42">
        <v>5605</v>
      </c>
      <c r="R54" s="35">
        <f t="shared" si="0"/>
        <v>133.97328183150202</v>
      </c>
      <c r="S54" s="42"/>
      <c r="T54" s="42">
        <f>Q54*1.08</f>
        <v>6053.400000000001</v>
      </c>
      <c r="U54" s="42">
        <f>T54*1.08</f>
        <v>6537.672000000001</v>
      </c>
      <c r="V54" s="46"/>
      <c r="W54" s="37"/>
      <c r="X54" s="37"/>
    </row>
    <row r="55" spans="1:24" ht="38.25">
      <c r="A55" s="39"/>
      <c r="B55" s="40"/>
      <c r="C55" s="39">
        <v>123</v>
      </c>
      <c r="D55" s="41"/>
      <c r="E55" s="39"/>
      <c r="F55" s="39"/>
      <c r="G55" s="39" t="s">
        <v>61</v>
      </c>
      <c r="H55" s="42" t="e">
        <f>H56</f>
        <v>#REF!</v>
      </c>
      <c r="I55" s="42">
        <f>I56</f>
        <v>35948.309</v>
      </c>
      <c r="J55" s="42">
        <f>J56+J73</f>
        <v>43752</v>
      </c>
      <c r="K55" s="42"/>
      <c r="L55" s="42"/>
      <c r="M55" s="42"/>
      <c r="N55" s="42">
        <f>N56</f>
        <v>48001.543</v>
      </c>
      <c r="O55" s="42"/>
      <c r="P55" s="42"/>
      <c r="Q55" s="42">
        <f>Q56</f>
        <v>49975.333</v>
      </c>
      <c r="R55" s="35">
        <f t="shared" si="0"/>
        <v>104.11193031857331</v>
      </c>
      <c r="S55" s="42"/>
      <c r="T55" s="42">
        <f>T56</f>
        <v>49349.23619999999</v>
      </c>
      <c r="U55" s="42">
        <f>U56</f>
        <v>50112.891656</v>
      </c>
      <c r="V55" s="46"/>
      <c r="W55" s="37">
        <f>J55/I55*100</f>
        <v>121.70808924558871</v>
      </c>
      <c r="X55" s="37">
        <f>N55/J55*100</f>
        <v>109.7127971292741</v>
      </c>
    </row>
    <row r="56" spans="1:24" ht="51">
      <c r="A56" s="39"/>
      <c r="B56" s="40"/>
      <c r="C56" s="39"/>
      <c r="D56" s="41">
        <v>1</v>
      </c>
      <c r="E56" s="39">
        <v>0</v>
      </c>
      <c r="F56" s="39"/>
      <c r="G56" s="45" t="s">
        <v>62</v>
      </c>
      <c r="H56" s="42" t="e">
        <f>#REF!+#REF!+H73</f>
        <v>#REF!</v>
      </c>
      <c r="I56" s="42">
        <f>SUM(I57:I72)</f>
        <v>35948.309</v>
      </c>
      <c r="J56" s="42">
        <f>SUM(J57:J64,J69:J72)</f>
        <v>43752</v>
      </c>
      <c r="K56" s="42">
        <f>SUM(K57:K64,K69:K72)</f>
        <v>43752</v>
      </c>
      <c r="L56" s="42">
        <f>SUM(L57:L64,L69:L72)</f>
        <v>0</v>
      </c>
      <c r="M56" s="42">
        <f>SUM(M57:M64,M69:M72)</f>
        <v>0</v>
      </c>
      <c r="N56" s="42">
        <f>SUM(N57:N64,N69:N72)</f>
        <v>48001.543</v>
      </c>
      <c r="O56" s="42"/>
      <c r="P56" s="42"/>
      <c r="Q56" s="42">
        <f>SUM(Q57:Q72)+1248+100</f>
        <v>49975.333</v>
      </c>
      <c r="R56" s="35">
        <f t="shared" si="0"/>
        <v>104.11193031857331</v>
      </c>
      <c r="S56" s="42"/>
      <c r="T56" s="47">
        <f>SUM(T57:T64,T69:T72)</f>
        <v>49349.23619999999</v>
      </c>
      <c r="U56" s="47">
        <f>SUM(U57:U64,U69:U72)</f>
        <v>50112.891656</v>
      </c>
      <c r="V56" s="48" t="s">
        <v>63</v>
      </c>
      <c r="W56" s="37">
        <f>J56/I56*100</f>
        <v>121.70808924558871</v>
      </c>
      <c r="X56" s="37">
        <f>N56/J56*100</f>
        <v>109.7127971292741</v>
      </c>
    </row>
    <row r="57" spans="1:24" ht="12.75">
      <c r="A57" s="39"/>
      <c r="B57" s="40"/>
      <c r="C57" s="39"/>
      <c r="D57" s="41"/>
      <c r="E57" s="39"/>
      <c r="F57" s="39">
        <v>111</v>
      </c>
      <c r="G57" s="39" t="s">
        <v>33</v>
      </c>
      <c r="H57" s="42">
        <v>16922</v>
      </c>
      <c r="I57" s="42">
        <v>16791</v>
      </c>
      <c r="J57" s="42">
        <v>21167</v>
      </c>
      <c r="K57" s="42">
        <v>21126</v>
      </c>
      <c r="L57" s="42"/>
      <c r="M57" s="42"/>
      <c r="N57" s="42">
        <v>24157</v>
      </c>
      <c r="O57" s="42">
        <v>24157</v>
      </c>
      <c r="P57" s="42"/>
      <c r="Q57" s="42">
        <v>24157</v>
      </c>
      <c r="R57" s="35">
        <f t="shared" si="0"/>
        <v>100</v>
      </c>
      <c r="S57" s="42"/>
      <c r="T57" s="42">
        <v>24157</v>
      </c>
      <c r="U57" s="42">
        <v>24157</v>
      </c>
      <c r="V57" s="48"/>
      <c r="W57" s="37">
        <f>J57/I57*100</f>
        <v>126.0615806086594</v>
      </c>
      <c r="X57" s="37">
        <f>N57/J57*100</f>
        <v>114.12576179902678</v>
      </c>
    </row>
    <row r="58" spans="1:24" ht="12.75">
      <c r="A58" s="39"/>
      <c r="B58" s="40"/>
      <c r="C58" s="39"/>
      <c r="D58" s="41"/>
      <c r="E58" s="39"/>
      <c r="F58" s="39">
        <v>112</v>
      </c>
      <c r="G58" s="39"/>
      <c r="H58" s="42"/>
      <c r="I58" s="42"/>
      <c r="J58" s="42"/>
      <c r="K58" s="42">
        <v>60</v>
      </c>
      <c r="L58" s="42"/>
      <c r="M58" s="42"/>
      <c r="N58" s="42"/>
      <c r="O58" s="42"/>
      <c r="P58" s="42"/>
      <c r="Q58" s="42"/>
      <c r="R58" s="35" t="e">
        <f t="shared" si="0"/>
        <v>#DIV/0!</v>
      </c>
      <c r="S58" s="42"/>
      <c r="T58" s="42"/>
      <c r="U58" s="35"/>
      <c r="V58" s="48"/>
      <c r="W58" s="37"/>
      <c r="X58" s="37"/>
    </row>
    <row r="59" spans="1:24" ht="12.75">
      <c r="A59" s="39"/>
      <c r="B59" s="40"/>
      <c r="C59" s="39"/>
      <c r="D59" s="41"/>
      <c r="E59" s="39"/>
      <c r="F59" s="39">
        <v>113</v>
      </c>
      <c r="G59" s="39" t="s">
        <v>35</v>
      </c>
      <c r="H59" s="42">
        <v>2821</v>
      </c>
      <c r="I59" s="42">
        <v>3085</v>
      </c>
      <c r="J59" s="42">
        <v>3992</v>
      </c>
      <c r="K59" s="42">
        <v>3961</v>
      </c>
      <c r="L59" s="42"/>
      <c r="M59" s="42"/>
      <c r="N59" s="42">
        <v>4029</v>
      </c>
      <c r="O59" s="42"/>
      <c r="P59" s="42"/>
      <c r="Q59" s="42">
        <v>4055</v>
      </c>
      <c r="R59" s="35">
        <f t="shared" si="0"/>
        <v>100.64532141970713</v>
      </c>
      <c r="S59" s="42"/>
      <c r="T59" s="42">
        <v>4055</v>
      </c>
      <c r="U59" s="42">
        <v>4055</v>
      </c>
      <c r="V59" s="48"/>
      <c r="W59" s="37">
        <f aca="true" t="shared" si="12" ref="W59:W64">J59/I59*100</f>
        <v>129.40032414910857</v>
      </c>
      <c r="X59" s="37">
        <f aca="true" t="shared" si="13" ref="X59:X64">N59/J59*100</f>
        <v>100.92685370741484</v>
      </c>
    </row>
    <row r="60" spans="1:24" ht="12.75">
      <c r="A60" s="39"/>
      <c r="B60" s="40"/>
      <c r="C60" s="39"/>
      <c r="D60" s="41"/>
      <c r="E60" s="39"/>
      <c r="F60" s="39">
        <v>121</v>
      </c>
      <c r="G60" s="39" t="s">
        <v>36</v>
      </c>
      <c r="H60" s="42">
        <v>1067</v>
      </c>
      <c r="I60" s="42">
        <f>(I57-(I57*0.1))*0.06</f>
        <v>906.7139999999999</v>
      </c>
      <c r="J60" s="42">
        <v>1177</v>
      </c>
      <c r="K60" s="42">
        <v>1101</v>
      </c>
      <c r="L60" s="42"/>
      <c r="M60" s="42"/>
      <c r="N60" s="42">
        <f>(N57-(N57*0.1))*0.06</f>
        <v>1304.4779999999998</v>
      </c>
      <c r="O60" s="42"/>
      <c r="P60" s="42"/>
      <c r="Q60" s="42">
        <f>(Q57-(Q57*0.1))*0.06</f>
        <v>1304.4779999999998</v>
      </c>
      <c r="R60" s="35">
        <f t="shared" si="0"/>
        <v>100</v>
      </c>
      <c r="S60" s="42"/>
      <c r="T60" s="42">
        <f>(T57-(T57*0.1))*0.06</f>
        <v>1304.4779999999998</v>
      </c>
      <c r="U60" s="42">
        <f>(U57-(U57*0.1))*0.06</f>
        <v>1304.4779999999998</v>
      </c>
      <c r="V60" s="46"/>
      <c r="W60" s="37">
        <f t="shared" si="12"/>
        <v>129.8093996563415</v>
      </c>
      <c r="X60" s="37">
        <f t="shared" si="13"/>
        <v>110.83075615972811</v>
      </c>
    </row>
    <row r="61" spans="1:24" ht="25.5">
      <c r="A61" s="39"/>
      <c r="B61" s="40"/>
      <c r="C61" s="39"/>
      <c r="D61" s="41"/>
      <c r="E61" s="39"/>
      <c r="F61" s="39">
        <v>122</v>
      </c>
      <c r="G61" s="39" t="s">
        <v>37</v>
      </c>
      <c r="H61" s="42">
        <v>610</v>
      </c>
      <c r="I61" s="42">
        <f>(I57-(I57*0.1))*0.05</f>
        <v>755.595</v>
      </c>
      <c r="J61" s="42">
        <v>982</v>
      </c>
      <c r="K61" s="42">
        <v>987</v>
      </c>
      <c r="L61" s="42"/>
      <c r="M61" s="42"/>
      <c r="N61" s="42">
        <f>(N57-(N57*0.1))*0.05</f>
        <v>1087.065</v>
      </c>
      <c r="O61" s="42"/>
      <c r="P61" s="42"/>
      <c r="Q61" s="42">
        <f>(Q57-(Q57*0.1))*0.05</f>
        <v>1087.065</v>
      </c>
      <c r="R61" s="35">
        <f t="shared" si="0"/>
        <v>100</v>
      </c>
      <c r="S61" s="42"/>
      <c r="T61" s="42">
        <f>(T57-(T57*0.1))*0.05</f>
        <v>1087.065</v>
      </c>
      <c r="U61" s="42">
        <f>(U57-(U57*0.1))*0.05</f>
        <v>1087.065</v>
      </c>
      <c r="V61" s="46"/>
      <c r="W61" s="37">
        <f t="shared" si="12"/>
        <v>129.96380336026573</v>
      </c>
      <c r="X61" s="37">
        <f t="shared" si="13"/>
        <v>110.699083503055</v>
      </c>
    </row>
    <row r="62" spans="1:24" ht="38.25">
      <c r="A62" s="39"/>
      <c r="B62" s="40"/>
      <c r="C62" s="39"/>
      <c r="D62" s="41"/>
      <c r="E62" s="39"/>
      <c r="F62" s="39">
        <v>125</v>
      </c>
      <c r="G62" s="39" t="s">
        <v>38</v>
      </c>
      <c r="H62" s="42">
        <v>36</v>
      </c>
      <c r="I62" s="42">
        <v>30</v>
      </c>
      <c r="J62" s="42">
        <v>35</v>
      </c>
      <c r="K62" s="42">
        <v>29</v>
      </c>
      <c r="L62" s="42"/>
      <c r="M62" s="42"/>
      <c r="N62" s="42">
        <v>42</v>
      </c>
      <c r="O62" s="42"/>
      <c r="P62" s="42"/>
      <c r="Q62" s="42">
        <f>N62*1.07</f>
        <v>44.940000000000005</v>
      </c>
      <c r="R62" s="35">
        <f t="shared" si="0"/>
        <v>107</v>
      </c>
      <c r="S62" s="42"/>
      <c r="T62" s="47">
        <f>Q62*1.08</f>
        <v>48.53520000000001</v>
      </c>
      <c r="U62" s="47">
        <f>T62*1.08</f>
        <v>52.418016000000016</v>
      </c>
      <c r="V62" s="46"/>
      <c r="W62" s="37">
        <f t="shared" si="12"/>
        <v>116.66666666666667</v>
      </c>
      <c r="X62" s="37">
        <f t="shared" si="13"/>
        <v>120</v>
      </c>
    </row>
    <row r="63" spans="1:24" ht="12.75">
      <c r="A63" s="39"/>
      <c r="B63" s="40"/>
      <c r="C63" s="39"/>
      <c r="D63" s="41"/>
      <c r="E63" s="39"/>
      <c r="F63" s="39">
        <v>139</v>
      </c>
      <c r="G63" s="39" t="s">
        <v>39</v>
      </c>
      <c r="H63" s="42">
        <v>6549</v>
      </c>
      <c r="I63" s="42">
        <v>4365</v>
      </c>
      <c r="J63" s="42">
        <v>4452</v>
      </c>
      <c r="K63" s="42">
        <v>4458</v>
      </c>
      <c r="L63" s="42"/>
      <c r="M63" s="42"/>
      <c r="N63" s="42">
        <v>4505</v>
      </c>
      <c r="O63" s="42"/>
      <c r="P63" s="42"/>
      <c r="Q63" s="42">
        <f aca="true" t="shared" si="14" ref="Q63:Q70">N63*1.07</f>
        <v>4820.35</v>
      </c>
      <c r="R63" s="35">
        <f t="shared" si="0"/>
        <v>107</v>
      </c>
      <c r="S63" s="42"/>
      <c r="T63" s="47">
        <f>Q63*1.08</f>
        <v>5205.978000000001</v>
      </c>
      <c r="U63" s="47">
        <f>T63*1.08</f>
        <v>5622.456240000001</v>
      </c>
      <c r="V63" s="46"/>
      <c r="W63" s="37">
        <f t="shared" si="12"/>
        <v>101.99312714776632</v>
      </c>
      <c r="X63" s="37">
        <f t="shared" si="13"/>
        <v>101.19047619047619</v>
      </c>
    </row>
    <row r="64" spans="1:24" ht="12.75">
      <c r="A64" s="39"/>
      <c r="B64" s="40"/>
      <c r="C64" s="39"/>
      <c r="D64" s="41"/>
      <c r="E64" s="39"/>
      <c r="F64" s="39">
        <v>141</v>
      </c>
      <c r="G64" s="39" t="s">
        <v>60</v>
      </c>
      <c r="H64" s="42">
        <v>728</v>
      </c>
      <c r="I64" s="42">
        <v>806</v>
      </c>
      <c r="J64" s="42">
        <f>J66+J67+J68</f>
        <v>832</v>
      </c>
      <c r="K64" s="42">
        <v>832</v>
      </c>
      <c r="L64" s="42"/>
      <c r="M64" s="42"/>
      <c r="N64" s="42">
        <f>SUM(N66:N68)</f>
        <v>716</v>
      </c>
      <c r="O64" s="42"/>
      <c r="P64" s="42"/>
      <c r="Q64" s="42">
        <f t="shared" si="14"/>
        <v>766.12</v>
      </c>
      <c r="R64" s="35">
        <f t="shared" si="0"/>
        <v>107</v>
      </c>
      <c r="S64" s="42"/>
      <c r="T64" s="47">
        <f>Q64*1.08</f>
        <v>827.4096000000001</v>
      </c>
      <c r="U64" s="47">
        <f>T64*1.08</f>
        <v>893.6023680000002</v>
      </c>
      <c r="V64" s="46"/>
      <c r="W64" s="37">
        <f t="shared" si="12"/>
        <v>103.2258064516129</v>
      </c>
      <c r="X64" s="37">
        <f t="shared" si="13"/>
        <v>86.0576923076923</v>
      </c>
    </row>
    <row r="65" spans="1:24" ht="12.75">
      <c r="A65" s="39"/>
      <c r="B65" s="40"/>
      <c r="C65" s="39"/>
      <c r="D65" s="41"/>
      <c r="E65" s="39"/>
      <c r="F65" s="39"/>
      <c r="G65" s="53" t="s">
        <v>58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35" t="e">
        <f t="shared" si="0"/>
        <v>#DIV/0!</v>
      </c>
      <c r="S65" s="42"/>
      <c r="T65" s="47"/>
      <c r="U65" s="35"/>
      <c r="V65" s="46"/>
      <c r="W65" s="37"/>
      <c r="X65" s="37"/>
    </row>
    <row r="66" spans="1:24" ht="12.75">
      <c r="A66" s="39"/>
      <c r="B66" s="40"/>
      <c r="C66" s="39"/>
      <c r="D66" s="41"/>
      <c r="E66" s="39"/>
      <c r="F66" s="39"/>
      <c r="G66" s="53" t="s">
        <v>64</v>
      </c>
      <c r="H66" s="42"/>
      <c r="I66" s="42"/>
      <c r="J66" s="42">
        <v>46</v>
      </c>
      <c r="K66" s="42"/>
      <c r="L66" s="42"/>
      <c r="M66" s="42"/>
      <c r="N66" s="42">
        <v>68</v>
      </c>
      <c r="O66" s="42"/>
      <c r="P66" s="42"/>
      <c r="Q66" s="42"/>
      <c r="R66" s="35">
        <f t="shared" si="0"/>
        <v>0</v>
      </c>
      <c r="S66" s="42"/>
      <c r="T66" s="47"/>
      <c r="U66" s="35"/>
      <c r="V66" s="46"/>
      <c r="W66" s="37"/>
      <c r="X66" s="37"/>
    </row>
    <row r="67" spans="1:24" ht="12.75">
      <c r="A67" s="39"/>
      <c r="B67" s="40"/>
      <c r="C67" s="39"/>
      <c r="D67" s="41"/>
      <c r="E67" s="39"/>
      <c r="F67" s="39"/>
      <c r="G67" s="53" t="s">
        <v>65</v>
      </c>
      <c r="H67" s="42"/>
      <c r="I67" s="42"/>
      <c r="J67" s="42">
        <v>272</v>
      </c>
      <c r="K67" s="42"/>
      <c r="L67" s="42"/>
      <c r="M67" s="42"/>
      <c r="N67" s="42">
        <v>333</v>
      </c>
      <c r="O67" s="42"/>
      <c r="P67" s="42"/>
      <c r="Q67" s="42"/>
      <c r="R67" s="35">
        <f t="shared" si="0"/>
        <v>0</v>
      </c>
      <c r="S67" s="42"/>
      <c r="T67" s="47"/>
      <c r="U67" s="35"/>
      <c r="V67" s="46"/>
      <c r="W67" s="37"/>
      <c r="X67" s="37"/>
    </row>
    <row r="68" spans="1:24" ht="12.75">
      <c r="A68" s="39"/>
      <c r="B68" s="40"/>
      <c r="C68" s="39"/>
      <c r="D68" s="41"/>
      <c r="E68" s="39"/>
      <c r="F68" s="39"/>
      <c r="G68" s="53" t="s">
        <v>66</v>
      </c>
      <c r="H68" s="42"/>
      <c r="I68" s="42"/>
      <c r="J68" s="42">
        <v>514</v>
      </c>
      <c r="K68" s="42"/>
      <c r="L68" s="42"/>
      <c r="M68" s="42"/>
      <c r="N68" s="42">
        <v>315</v>
      </c>
      <c r="O68" s="42"/>
      <c r="P68" s="42"/>
      <c r="Q68" s="42"/>
      <c r="R68" s="35">
        <f t="shared" si="0"/>
        <v>0</v>
      </c>
      <c r="S68" s="42"/>
      <c r="T68" s="47"/>
      <c r="U68" s="35"/>
      <c r="V68" s="46"/>
      <c r="W68" s="37"/>
      <c r="X68" s="37"/>
    </row>
    <row r="69" spans="1:24" ht="12.75">
      <c r="A69" s="39"/>
      <c r="B69" s="40"/>
      <c r="C69" s="39"/>
      <c r="D69" s="41"/>
      <c r="E69" s="39"/>
      <c r="F69" s="39">
        <v>142</v>
      </c>
      <c r="G69" s="39" t="s">
        <v>40</v>
      </c>
      <c r="H69" s="42">
        <v>381</v>
      </c>
      <c r="I69" s="42">
        <v>652</v>
      </c>
      <c r="J69" s="42">
        <v>750</v>
      </c>
      <c r="K69" s="42">
        <v>880</v>
      </c>
      <c r="L69" s="42"/>
      <c r="M69" s="42"/>
      <c r="N69" s="42">
        <v>812</v>
      </c>
      <c r="O69" s="42"/>
      <c r="P69" s="42"/>
      <c r="Q69" s="42">
        <f t="shared" si="14"/>
        <v>868.84</v>
      </c>
      <c r="R69" s="35">
        <f t="shared" si="0"/>
        <v>107</v>
      </c>
      <c r="S69" s="42"/>
      <c r="T69" s="47">
        <f>Q69*1.08</f>
        <v>938.3472</v>
      </c>
      <c r="U69" s="47">
        <f>T69*1.08</f>
        <v>1013.4149760000001</v>
      </c>
      <c r="V69" s="46"/>
      <c r="W69" s="37">
        <f>J69/I69*100</f>
        <v>115.03067484662577</v>
      </c>
      <c r="X69" s="37">
        <f>N69/J69*100</f>
        <v>108.26666666666667</v>
      </c>
    </row>
    <row r="70" spans="1:24" ht="12.75">
      <c r="A70" s="39"/>
      <c r="B70" s="40"/>
      <c r="C70" s="39"/>
      <c r="D70" s="41"/>
      <c r="E70" s="39"/>
      <c r="F70" s="39">
        <v>147</v>
      </c>
      <c r="G70" s="39" t="s">
        <v>42</v>
      </c>
      <c r="H70" s="42">
        <v>1028</v>
      </c>
      <c r="I70" s="42">
        <v>1028</v>
      </c>
      <c r="J70" s="42">
        <v>1028</v>
      </c>
      <c r="K70" s="42">
        <v>1028</v>
      </c>
      <c r="L70" s="42"/>
      <c r="M70" s="42"/>
      <c r="N70" s="42"/>
      <c r="O70" s="42"/>
      <c r="P70" s="42"/>
      <c r="Q70" s="42">
        <f t="shared" si="14"/>
        <v>0</v>
      </c>
      <c r="R70" s="35" t="e">
        <f t="shared" si="0"/>
        <v>#DIV/0!</v>
      </c>
      <c r="S70" s="42"/>
      <c r="T70" s="47">
        <f>Q70*1.06</f>
        <v>0</v>
      </c>
      <c r="U70" s="35"/>
      <c r="V70" s="46"/>
      <c r="W70" s="37">
        <f>J70/I70*100</f>
        <v>100</v>
      </c>
      <c r="X70" s="37">
        <f>N70/J70*100</f>
        <v>0</v>
      </c>
    </row>
    <row r="71" spans="1:24" ht="12.75">
      <c r="A71" s="39"/>
      <c r="B71" s="40"/>
      <c r="C71" s="39"/>
      <c r="D71" s="41"/>
      <c r="E71" s="39"/>
      <c r="F71" s="39">
        <v>149</v>
      </c>
      <c r="G71" s="39" t="s">
        <v>43</v>
      </c>
      <c r="H71" s="42">
        <v>7276</v>
      </c>
      <c r="I71" s="42">
        <v>7516</v>
      </c>
      <c r="J71" s="42">
        <v>9322</v>
      </c>
      <c r="K71" s="42">
        <v>9278</v>
      </c>
      <c r="L71" s="42"/>
      <c r="M71" s="42"/>
      <c r="N71" s="42">
        <v>11327</v>
      </c>
      <c r="O71" s="42"/>
      <c r="P71" s="42"/>
      <c r="Q71" s="42">
        <v>11500</v>
      </c>
      <c r="R71" s="35">
        <f t="shared" si="0"/>
        <v>101.52732409287543</v>
      </c>
      <c r="S71" s="42"/>
      <c r="T71" s="42">
        <v>11700</v>
      </c>
      <c r="U71" s="35">
        <v>11900</v>
      </c>
      <c r="V71" s="46"/>
      <c r="W71" s="37">
        <f>J71/I71*100</f>
        <v>124.02873869079298</v>
      </c>
      <c r="X71" s="37">
        <f>N71/J71*100</f>
        <v>121.50826003003647</v>
      </c>
    </row>
    <row r="72" spans="1:24" ht="12.75">
      <c r="A72" s="39"/>
      <c r="B72" s="40"/>
      <c r="C72" s="39"/>
      <c r="D72" s="41"/>
      <c r="E72" s="39"/>
      <c r="F72" s="39">
        <v>159</v>
      </c>
      <c r="G72" s="39" t="s">
        <v>46</v>
      </c>
      <c r="H72" s="42">
        <v>15</v>
      </c>
      <c r="I72" s="42">
        <v>13</v>
      </c>
      <c r="J72" s="42">
        <v>15</v>
      </c>
      <c r="K72" s="42">
        <v>12</v>
      </c>
      <c r="L72" s="42"/>
      <c r="M72" s="42"/>
      <c r="N72" s="42">
        <v>22</v>
      </c>
      <c r="O72" s="42"/>
      <c r="P72" s="42"/>
      <c r="Q72" s="42">
        <f>N72*1.07</f>
        <v>23.540000000000003</v>
      </c>
      <c r="R72" s="35">
        <f aca="true" t="shared" si="15" ref="R72:R135">Q72/N72*100</f>
        <v>107</v>
      </c>
      <c r="S72" s="42"/>
      <c r="T72" s="42">
        <f>Q72*1.08</f>
        <v>25.423200000000005</v>
      </c>
      <c r="U72" s="42">
        <f>T72*1.08</f>
        <v>27.45705600000001</v>
      </c>
      <c r="V72" s="46"/>
      <c r="W72" s="37">
        <f>J72/I72*100</f>
        <v>115.38461538461537</v>
      </c>
      <c r="X72" s="37">
        <f>N72/J72*100</f>
        <v>146.66666666666666</v>
      </c>
    </row>
    <row r="73" spans="1:24" ht="12.75">
      <c r="A73" s="39"/>
      <c r="B73" s="40"/>
      <c r="C73" s="39"/>
      <c r="D73" s="41">
        <v>22</v>
      </c>
      <c r="E73" s="39" t="s">
        <v>67</v>
      </c>
      <c r="F73" s="39"/>
      <c r="G73" s="39" t="s">
        <v>47</v>
      </c>
      <c r="H73" s="42">
        <f>H74+H75</f>
        <v>0</v>
      </c>
      <c r="I73" s="42">
        <f>H73+(H73*0.08)</f>
        <v>0</v>
      </c>
      <c r="J73" s="42">
        <f>I73+(I73*0.075)</f>
        <v>0</v>
      </c>
      <c r="K73" s="42"/>
      <c r="L73" s="42"/>
      <c r="M73" s="42"/>
      <c r="N73" s="42">
        <f>J73+(J73*0.07)</f>
        <v>0</v>
      </c>
      <c r="O73" s="42"/>
      <c r="P73" s="42"/>
      <c r="Q73" s="42"/>
      <c r="R73" s="35" t="e">
        <f t="shared" si="15"/>
        <v>#DIV/0!</v>
      </c>
      <c r="S73" s="42"/>
      <c r="T73" s="52"/>
      <c r="U73" s="35"/>
      <c r="V73" s="46"/>
      <c r="W73" s="37"/>
      <c r="X73" s="37"/>
    </row>
    <row r="74" spans="1:24" ht="25.5">
      <c r="A74" s="39"/>
      <c r="B74" s="40"/>
      <c r="C74" s="39"/>
      <c r="D74" s="41"/>
      <c r="E74" s="39"/>
      <c r="F74" s="39">
        <v>411</v>
      </c>
      <c r="G74" s="39" t="s">
        <v>49</v>
      </c>
      <c r="H74" s="42"/>
      <c r="I74" s="42">
        <f>H74+(H74*0.08)</f>
        <v>0</v>
      </c>
      <c r="J74" s="42">
        <f>I74+(I74*0.075)</f>
        <v>0</v>
      </c>
      <c r="K74" s="42"/>
      <c r="L74" s="42"/>
      <c r="M74" s="42"/>
      <c r="N74" s="42">
        <f>J74+(J74*0.07)</f>
        <v>0</v>
      </c>
      <c r="O74" s="42"/>
      <c r="P74" s="42"/>
      <c r="Q74" s="42"/>
      <c r="R74" s="35" t="e">
        <f t="shared" si="15"/>
        <v>#DIV/0!</v>
      </c>
      <c r="S74" s="42"/>
      <c r="T74" s="52"/>
      <c r="U74" s="35"/>
      <c r="V74" s="43"/>
      <c r="W74" s="37"/>
      <c r="X74" s="37"/>
    </row>
    <row r="75" spans="1:24" ht="12.75">
      <c r="A75" s="39"/>
      <c r="B75" s="40"/>
      <c r="C75" s="39"/>
      <c r="D75" s="41"/>
      <c r="E75" s="39"/>
      <c r="F75" s="39">
        <v>412</v>
      </c>
      <c r="G75" s="39" t="s">
        <v>68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35" t="e">
        <f t="shared" si="15"/>
        <v>#DIV/0!</v>
      </c>
      <c r="S75" s="42"/>
      <c r="T75" s="52"/>
      <c r="U75" s="35"/>
      <c r="V75" s="43"/>
      <c r="W75" s="37" t="e">
        <f>J75/I75*100</f>
        <v>#DIV/0!</v>
      </c>
      <c r="X75" s="37" t="e">
        <f>N75/J75*100</f>
        <v>#DIV/0!</v>
      </c>
    </row>
    <row r="76" spans="1:24" ht="25.5">
      <c r="A76" s="39"/>
      <c r="B76" s="40" t="s">
        <v>69</v>
      </c>
      <c r="C76" s="39"/>
      <c r="D76" s="41"/>
      <c r="E76" s="39"/>
      <c r="F76" s="39"/>
      <c r="G76" s="39" t="s">
        <v>70</v>
      </c>
      <c r="H76" s="42" t="e">
        <f aca="true" t="shared" si="16" ref="H76:U76">H77</f>
        <v>#REF!</v>
      </c>
      <c r="I76" s="42">
        <f t="shared" si="16"/>
        <v>48636.131</v>
      </c>
      <c r="J76" s="42">
        <f t="shared" si="16"/>
        <v>56726.632999999994</v>
      </c>
      <c r="K76" s="42"/>
      <c r="L76" s="42"/>
      <c r="M76" s="42"/>
      <c r="N76" s="42">
        <f t="shared" si="16"/>
        <v>69667.80812</v>
      </c>
      <c r="O76" s="42"/>
      <c r="P76" s="42"/>
      <c r="Q76" s="42">
        <f t="shared" si="16"/>
        <v>43568.820458400005</v>
      </c>
      <c r="R76" s="35">
        <f t="shared" si="15"/>
        <v>62.537952081619196</v>
      </c>
      <c r="S76" s="42"/>
      <c r="T76" s="42">
        <f t="shared" si="16"/>
        <v>38874.331535072</v>
      </c>
      <c r="U76" s="42">
        <f t="shared" si="16"/>
        <v>40529.443497877764</v>
      </c>
      <c r="V76" s="43"/>
      <c r="W76" s="37">
        <f>J76/I76*100</f>
        <v>116.63475657634032</v>
      </c>
      <c r="X76" s="37">
        <f>N76/J76*100</f>
        <v>122.81322623184776</v>
      </c>
    </row>
    <row r="77" spans="1:24" ht="25.5">
      <c r="A77" s="39"/>
      <c r="B77" s="40"/>
      <c r="C77" s="39">
        <v>452</v>
      </c>
      <c r="D77" s="41"/>
      <c r="E77" s="39"/>
      <c r="F77" s="39"/>
      <c r="G77" s="39" t="s">
        <v>71</v>
      </c>
      <c r="H77" s="42" t="e">
        <f>H78+H95+H97</f>
        <v>#REF!</v>
      </c>
      <c r="I77" s="42">
        <f>I78+I95+I97</f>
        <v>48636.131</v>
      </c>
      <c r="J77" s="42">
        <f>J78+J95+J97</f>
        <v>56726.632999999994</v>
      </c>
      <c r="K77" s="42"/>
      <c r="L77" s="42"/>
      <c r="M77" s="42"/>
      <c r="N77" s="42">
        <f>N78+N95+N97+N114</f>
        <v>69667.80812</v>
      </c>
      <c r="O77" s="42">
        <f aca="true" t="shared" si="17" ref="O77:U77">O78+O95+O97+O114</f>
        <v>22908</v>
      </c>
      <c r="P77" s="42"/>
      <c r="Q77" s="42">
        <f t="shared" si="17"/>
        <v>43568.820458400005</v>
      </c>
      <c r="R77" s="35">
        <f t="shared" si="15"/>
        <v>62.537952081619196</v>
      </c>
      <c r="S77" s="42"/>
      <c r="T77" s="42">
        <f t="shared" si="17"/>
        <v>38874.331535072</v>
      </c>
      <c r="U77" s="42">
        <f t="shared" si="17"/>
        <v>40529.443497877764</v>
      </c>
      <c r="V77" s="43"/>
      <c r="W77" s="37">
        <f>J77/I77*100</f>
        <v>116.63475657634032</v>
      </c>
      <c r="X77" s="37">
        <f>N77/J77*100</f>
        <v>122.81322623184776</v>
      </c>
    </row>
    <row r="78" spans="1:24" ht="51">
      <c r="A78" s="39"/>
      <c r="B78" s="40"/>
      <c r="C78" s="39"/>
      <c r="D78" s="41">
        <v>1</v>
      </c>
      <c r="E78" s="39"/>
      <c r="F78" s="39"/>
      <c r="G78" s="45" t="s">
        <v>72</v>
      </c>
      <c r="H78" s="42" t="e">
        <f>#REF!+#REF!+#REF!</f>
        <v>#REF!</v>
      </c>
      <c r="I78" s="42">
        <f>SUM(I79:I94)</f>
        <v>19583.299</v>
      </c>
      <c r="J78" s="42">
        <f>J79+J81+J82+J83+J84+J85+J86+J91+J92+J94</f>
        <v>22219.539</v>
      </c>
      <c r="K78" s="42">
        <f>SUM(K79:K86,K91:K94)</f>
        <v>22220</v>
      </c>
      <c r="L78" s="42">
        <v>23515</v>
      </c>
      <c r="M78" s="42">
        <v>24471</v>
      </c>
      <c r="N78" s="42">
        <f>SUM(N79:N86,N91:N94)</f>
        <v>28423.762000000002</v>
      </c>
      <c r="O78" s="42"/>
      <c r="P78" s="42"/>
      <c r="Q78" s="47">
        <f>SUM(Q79:Q94)</f>
        <v>27990.225100000003</v>
      </c>
      <c r="R78" s="35">
        <f t="shared" si="15"/>
        <v>98.4747377915703</v>
      </c>
      <c r="S78" s="47"/>
      <c r="T78" s="47">
        <f>SUM(T79:T94)</f>
        <v>28774.608548</v>
      </c>
      <c r="U78" s="47">
        <f>SUM(U79:U94)</f>
        <v>29621.74267184</v>
      </c>
      <c r="V78" s="43" t="s">
        <v>73</v>
      </c>
      <c r="W78" s="37">
        <f>J78/I78*100</f>
        <v>113.46167466472326</v>
      </c>
      <c r="X78" s="37">
        <f>N78/J78*100</f>
        <v>127.92237498716783</v>
      </c>
    </row>
    <row r="79" spans="1:24" ht="12.75">
      <c r="A79" s="39"/>
      <c r="B79" s="40"/>
      <c r="C79" s="39"/>
      <c r="D79" s="41"/>
      <c r="E79" s="39"/>
      <c r="F79" s="39">
        <v>111</v>
      </c>
      <c r="G79" s="39" t="s">
        <v>33</v>
      </c>
      <c r="H79" s="42">
        <v>10452</v>
      </c>
      <c r="I79" s="42">
        <v>10921</v>
      </c>
      <c r="J79" s="42">
        <v>12561</v>
      </c>
      <c r="K79" s="42">
        <v>12259</v>
      </c>
      <c r="L79" s="42"/>
      <c r="M79" s="42"/>
      <c r="N79" s="42">
        <v>14368</v>
      </c>
      <c r="O79" s="42">
        <v>14368</v>
      </c>
      <c r="P79" s="42"/>
      <c r="Q79" s="42">
        <v>14368</v>
      </c>
      <c r="R79" s="35">
        <f t="shared" si="15"/>
        <v>100</v>
      </c>
      <c r="S79" s="42"/>
      <c r="T79" s="42">
        <v>14368</v>
      </c>
      <c r="U79" s="42">
        <v>14368</v>
      </c>
      <c r="V79" s="46"/>
      <c r="W79" s="37">
        <f>J79/I79*100</f>
        <v>115.01693984067394</v>
      </c>
      <c r="X79" s="37">
        <f>N79/J79*100</f>
        <v>114.38579730913143</v>
      </c>
    </row>
    <row r="80" spans="1:24" ht="12.75">
      <c r="A80" s="39"/>
      <c r="B80" s="40"/>
      <c r="C80" s="39"/>
      <c r="D80" s="41"/>
      <c r="E80" s="39"/>
      <c r="F80" s="39">
        <v>112</v>
      </c>
      <c r="G80" s="39"/>
      <c r="H80" s="42"/>
      <c r="I80" s="42"/>
      <c r="J80" s="42"/>
      <c r="K80" s="42">
        <v>862</v>
      </c>
      <c r="L80" s="42"/>
      <c r="M80" s="42"/>
      <c r="N80" s="42"/>
      <c r="O80" s="42"/>
      <c r="P80" s="42"/>
      <c r="Q80" s="42"/>
      <c r="R80" s="35" t="e">
        <f t="shared" si="15"/>
        <v>#DIV/0!</v>
      </c>
      <c r="S80" s="42"/>
      <c r="T80" s="47"/>
      <c r="U80" s="35"/>
      <c r="V80" s="46"/>
      <c r="W80" s="37"/>
      <c r="X80" s="37"/>
    </row>
    <row r="81" spans="1:24" ht="12.75">
      <c r="A81" s="39"/>
      <c r="B81" s="40"/>
      <c r="C81" s="39"/>
      <c r="D81" s="41"/>
      <c r="E81" s="39"/>
      <c r="F81" s="39">
        <v>113</v>
      </c>
      <c r="G81" s="39" t="s">
        <v>35</v>
      </c>
      <c r="H81" s="42">
        <v>1742</v>
      </c>
      <c r="I81" s="42">
        <v>2023</v>
      </c>
      <c r="J81" s="42">
        <v>2367</v>
      </c>
      <c r="K81" s="42">
        <v>2385</v>
      </c>
      <c r="L81" s="42"/>
      <c r="M81" s="42"/>
      <c r="N81" s="42">
        <v>2395</v>
      </c>
      <c r="O81" s="42">
        <v>2395</v>
      </c>
      <c r="P81" s="42"/>
      <c r="Q81" s="42">
        <v>2395</v>
      </c>
      <c r="R81" s="35">
        <f t="shared" si="15"/>
        <v>100</v>
      </c>
      <c r="S81" s="42"/>
      <c r="T81" s="42">
        <v>2395</v>
      </c>
      <c r="U81" s="42">
        <v>2395</v>
      </c>
      <c r="V81" s="43"/>
      <c r="W81" s="37">
        <f aca="true" t="shared" si="18" ref="W81:W86">J81/I81*100</f>
        <v>117.00444883835888</v>
      </c>
      <c r="X81" s="37">
        <f aca="true" t="shared" si="19" ref="X81:X86">N81/J81*100</f>
        <v>101.18293198141106</v>
      </c>
    </row>
    <row r="82" spans="1:24" ht="12.75">
      <c r="A82" s="39"/>
      <c r="B82" s="40"/>
      <c r="C82" s="39"/>
      <c r="D82" s="41"/>
      <c r="E82" s="39"/>
      <c r="F82" s="39">
        <v>121</v>
      </c>
      <c r="G82" s="39" t="s">
        <v>36</v>
      </c>
      <c r="H82" s="42">
        <v>659</v>
      </c>
      <c r="I82" s="42">
        <f>(I79-(I79*0.1))*0.06</f>
        <v>589.7339999999999</v>
      </c>
      <c r="J82" s="42">
        <f>(J79-(J79*0.1))*0.06</f>
        <v>678.294</v>
      </c>
      <c r="K82" s="42">
        <v>712</v>
      </c>
      <c r="L82" s="42"/>
      <c r="M82" s="42"/>
      <c r="N82" s="42">
        <f>(N79-(N79*0.1))*0.06</f>
        <v>775.8720000000001</v>
      </c>
      <c r="O82" s="42"/>
      <c r="P82" s="42"/>
      <c r="Q82" s="42">
        <f>(Q79-(Q79*0.1))*0.06</f>
        <v>775.8720000000001</v>
      </c>
      <c r="R82" s="35">
        <f t="shared" si="15"/>
        <v>100</v>
      </c>
      <c r="S82" s="42"/>
      <c r="T82" s="42">
        <f>(T79-(T79*0.1))*0.06</f>
        <v>775.8720000000001</v>
      </c>
      <c r="U82" s="42">
        <f>(U79-(U79*0.1))*0.06</f>
        <v>775.8720000000001</v>
      </c>
      <c r="V82" s="43"/>
      <c r="W82" s="37">
        <f t="shared" si="18"/>
        <v>115.01693984067394</v>
      </c>
      <c r="X82" s="37">
        <f t="shared" si="19"/>
        <v>114.38579730913145</v>
      </c>
    </row>
    <row r="83" spans="1:24" ht="25.5">
      <c r="A83" s="39"/>
      <c r="B83" s="40"/>
      <c r="C83" s="39"/>
      <c r="D83" s="41"/>
      <c r="E83" s="39"/>
      <c r="F83" s="39">
        <v>122</v>
      </c>
      <c r="G83" s="39" t="s">
        <v>37</v>
      </c>
      <c r="H83" s="42">
        <v>376</v>
      </c>
      <c r="I83" s="42">
        <f>(I79-(I79*0.1))*0.05</f>
        <v>491.445</v>
      </c>
      <c r="J83" s="42">
        <f>(J79-(J79*0.1))*0.05</f>
        <v>565.245</v>
      </c>
      <c r="K83" s="42">
        <v>594</v>
      </c>
      <c r="L83" s="42"/>
      <c r="M83" s="42"/>
      <c r="N83" s="42">
        <f>(N79-(N79*0.1))*0.05</f>
        <v>646.5600000000001</v>
      </c>
      <c r="O83" s="42"/>
      <c r="P83" s="42"/>
      <c r="Q83" s="42">
        <f>(Q79-(Q79*0.1))*0.05</f>
        <v>646.5600000000001</v>
      </c>
      <c r="R83" s="35">
        <f t="shared" si="15"/>
        <v>100</v>
      </c>
      <c r="S83" s="42"/>
      <c r="T83" s="42">
        <f>(T79-(T79*0.1))*0.05</f>
        <v>646.5600000000001</v>
      </c>
      <c r="U83" s="42">
        <f>(U79-(U79*0.1))*0.05</f>
        <v>646.5600000000001</v>
      </c>
      <c r="V83" s="43"/>
      <c r="W83" s="37">
        <f t="shared" si="18"/>
        <v>115.01693984067394</v>
      </c>
      <c r="X83" s="37">
        <f t="shared" si="19"/>
        <v>114.38579730913145</v>
      </c>
    </row>
    <row r="84" spans="1:24" ht="38.25">
      <c r="A84" s="39"/>
      <c r="B84" s="40"/>
      <c r="C84" s="39"/>
      <c r="D84" s="41"/>
      <c r="E84" s="39"/>
      <c r="F84" s="39">
        <v>125</v>
      </c>
      <c r="G84" s="39" t="s">
        <v>38</v>
      </c>
      <c r="H84" s="42">
        <v>8</v>
      </c>
      <c r="I84" s="42">
        <f>H84+(H84*0.08)</f>
        <v>8.64</v>
      </c>
      <c r="J84" s="42">
        <v>10</v>
      </c>
      <c r="K84" s="42">
        <v>9</v>
      </c>
      <c r="L84" s="42"/>
      <c r="M84" s="42"/>
      <c r="N84" s="42">
        <v>10</v>
      </c>
      <c r="O84" s="42"/>
      <c r="P84" s="42"/>
      <c r="Q84" s="42">
        <f>N84+(N84*0.07)</f>
        <v>10.7</v>
      </c>
      <c r="R84" s="35">
        <f t="shared" si="15"/>
        <v>106.99999999999999</v>
      </c>
      <c r="S84" s="42"/>
      <c r="T84" s="42">
        <f aca="true" t="shared" si="20" ref="T84:T92">Q84+(Q84*0.08)</f>
        <v>11.556</v>
      </c>
      <c r="U84" s="42">
        <f>T84+(T84*0.08)</f>
        <v>12.48048</v>
      </c>
      <c r="V84" s="43"/>
      <c r="W84" s="37">
        <f t="shared" si="18"/>
        <v>115.74074074074075</v>
      </c>
      <c r="X84" s="37">
        <f t="shared" si="19"/>
        <v>100</v>
      </c>
    </row>
    <row r="85" spans="1:24" ht="12.75">
      <c r="A85" s="39"/>
      <c r="B85" s="40"/>
      <c r="C85" s="39"/>
      <c r="D85" s="41"/>
      <c r="E85" s="39"/>
      <c r="F85" s="39">
        <v>139</v>
      </c>
      <c r="G85" s="39" t="s">
        <v>39</v>
      </c>
      <c r="H85" s="42">
        <v>1569</v>
      </c>
      <c r="I85" s="42">
        <v>1660</v>
      </c>
      <c r="J85" s="42">
        <v>1562</v>
      </c>
      <c r="K85" s="42">
        <v>1286</v>
      </c>
      <c r="L85" s="42"/>
      <c r="M85" s="42"/>
      <c r="N85" s="42">
        <v>2746</v>
      </c>
      <c r="O85" s="42"/>
      <c r="P85" s="42"/>
      <c r="Q85" s="42">
        <v>1788</v>
      </c>
      <c r="R85" s="35">
        <f t="shared" si="15"/>
        <v>65.1128914785142</v>
      </c>
      <c r="S85" s="42"/>
      <c r="T85" s="42">
        <f t="shared" si="20"/>
        <v>1931.04</v>
      </c>
      <c r="U85" s="42">
        <f aca="true" t="shared" si="21" ref="U85:U92">T85+(T85*0.08)</f>
        <v>2085.5232</v>
      </c>
      <c r="V85" s="43"/>
      <c r="W85" s="37">
        <f t="shared" si="18"/>
        <v>94.09638554216868</v>
      </c>
      <c r="X85" s="37">
        <f t="shared" si="19"/>
        <v>175.80025608194623</v>
      </c>
    </row>
    <row r="86" spans="1:24" ht="12.75">
      <c r="A86" s="39"/>
      <c r="B86" s="40"/>
      <c r="C86" s="39"/>
      <c r="D86" s="41"/>
      <c r="E86" s="39"/>
      <c r="F86" s="39">
        <v>141</v>
      </c>
      <c r="G86" s="39" t="s">
        <v>60</v>
      </c>
      <c r="H86" s="42">
        <v>283</v>
      </c>
      <c r="I86" s="42">
        <v>368</v>
      </c>
      <c r="J86" s="42">
        <f>J88+J89+J90</f>
        <v>416</v>
      </c>
      <c r="K86" s="42">
        <v>416</v>
      </c>
      <c r="L86" s="42"/>
      <c r="M86" s="42"/>
      <c r="N86" s="42">
        <f>SUM(N88:N90)</f>
        <v>445</v>
      </c>
      <c r="O86" s="42"/>
      <c r="P86" s="42"/>
      <c r="Q86" s="42">
        <f aca="true" t="shared" si="22" ref="Q86:Q94">N86+(N86*0.07)</f>
        <v>476.15</v>
      </c>
      <c r="R86" s="35">
        <f t="shared" si="15"/>
        <v>106.99999999999999</v>
      </c>
      <c r="S86" s="42"/>
      <c r="T86" s="42">
        <f t="shared" si="20"/>
        <v>514.242</v>
      </c>
      <c r="U86" s="42">
        <f t="shared" si="21"/>
        <v>555.38136</v>
      </c>
      <c r="V86" s="43"/>
      <c r="W86" s="37">
        <f t="shared" si="18"/>
        <v>113.04347826086956</v>
      </c>
      <c r="X86" s="37">
        <f t="shared" si="19"/>
        <v>106.97115384615385</v>
      </c>
    </row>
    <row r="87" spans="1:24" ht="12.75">
      <c r="A87" s="39"/>
      <c r="B87" s="40"/>
      <c r="C87" s="39"/>
      <c r="D87" s="41"/>
      <c r="E87" s="39"/>
      <c r="F87" s="39"/>
      <c r="G87" s="53" t="s">
        <v>74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35" t="e">
        <f t="shared" si="15"/>
        <v>#DIV/0!</v>
      </c>
      <c r="S87" s="42"/>
      <c r="T87" s="42">
        <f t="shared" si="20"/>
        <v>0</v>
      </c>
      <c r="U87" s="42">
        <f t="shared" si="21"/>
        <v>0</v>
      </c>
      <c r="V87" s="54"/>
      <c r="W87" s="37"/>
      <c r="X87" s="37"/>
    </row>
    <row r="88" spans="1:24" ht="12.75">
      <c r="A88" s="39"/>
      <c r="B88" s="40"/>
      <c r="C88" s="39"/>
      <c r="D88" s="41"/>
      <c r="E88" s="39"/>
      <c r="F88" s="39"/>
      <c r="G88" s="53" t="s">
        <v>64</v>
      </c>
      <c r="H88" s="42"/>
      <c r="I88" s="42"/>
      <c r="J88" s="42">
        <v>28</v>
      </c>
      <c r="K88" s="42"/>
      <c r="L88" s="42"/>
      <c r="M88" s="42"/>
      <c r="N88" s="42">
        <v>34</v>
      </c>
      <c r="O88" s="42"/>
      <c r="P88" s="42"/>
      <c r="Q88" s="42"/>
      <c r="R88" s="35">
        <f t="shared" si="15"/>
        <v>0</v>
      </c>
      <c r="S88" s="42"/>
      <c r="T88" s="42">
        <f t="shared" si="20"/>
        <v>0</v>
      </c>
      <c r="U88" s="42">
        <f t="shared" si="21"/>
        <v>0</v>
      </c>
      <c r="V88" s="54"/>
      <c r="W88" s="37"/>
      <c r="X88" s="37"/>
    </row>
    <row r="89" spans="1:24" ht="12.75">
      <c r="A89" s="39"/>
      <c r="B89" s="40"/>
      <c r="C89" s="39"/>
      <c r="D89" s="41"/>
      <c r="E89" s="39"/>
      <c r="F89" s="39"/>
      <c r="G89" s="53" t="s">
        <v>65</v>
      </c>
      <c r="H89" s="42"/>
      <c r="I89" s="42"/>
      <c r="J89" s="42">
        <v>202</v>
      </c>
      <c r="K89" s="42"/>
      <c r="L89" s="42"/>
      <c r="M89" s="42"/>
      <c r="N89" s="42">
        <v>206</v>
      </c>
      <c r="O89" s="42"/>
      <c r="P89" s="42"/>
      <c r="Q89" s="42"/>
      <c r="R89" s="35">
        <f t="shared" si="15"/>
        <v>0</v>
      </c>
      <c r="S89" s="42"/>
      <c r="T89" s="42">
        <f t="shared" si="20"/>
        <v>0</v>
      </c>
      <c r="U89" s="42">
        <f t="shared" si="21"/>
        <v>0</v>
      </c>
      <c r="V89" s="54"/>
      <c r="W89" s="37"/>
      <c r="X89" s="37"/>
    </row>
    <row r="90" spans="1:24" ht="12.75">
      <c r="A90" s="39"/>
      <c r="B90" s="40"/>
      <c r="C90" s="39"/>
      <c r="D90" s="41"/>
      <c r="E90" s="39"/>
      <c r="F90" s="39"/>
      <c r="G90" s="53" t="s">
        <v>66</v>
      </c>
      <c r="H90" s="42"/>
      <c r="I90" s="42"/>
      <c r="J90" s="42">
        <v>186</v>
      </c>
      <c r="K90" s="42"/>
      <c r="L90" s="42"/>
      <c r="M90" s="42"/>
      <c r="N90" s="42">
        <v>205</v>
      </c>
      <c r="O90" s="42"/>
      <c r="P90" s="42"/>
      <c r="Q90" s="42"/>
      <c r="R90" s="35">
        <f t="shared" si="15"/>
        <v>0</v>
      </c>
      <c r="S90" s="42"/>
      <c r="T90" s="42">
        <f t="shared" si="20"/>
        <v>0</v>
      </c>
      <c r="U90" s="42">
        <f t="shared" si="21"/>
        <v>0</v>
      </c>
      <c r="V90" s="54"/>
      <c r="W90" s="37"/>
      <c r="X90" s="37"/>
    </row>
    <row r="91" spans="1:24" ht="12.75">
      <c r="A91" s="39"/>
      <c r="B91" s="40"/>
      <c r="C91" s="39"/>
      <c r="D91" s="41"/>
      <c r="E91" s="39"/>
      <c r="F91" s="39">
        <v>142</v>
      </c>
      <c r="G91" s="39" t="s">
        <v>40</v>
      </c>
      <c r="H91" s="42">
        <v>620</v>
      </c>
      <c r="I91" s="42">
        <v>380</v>
      </c>
      <c r="J91" s="42">
        <v>410</v>
      </c>
      <c r="K91" s="42">
        <v>410</v>
      </c>
      <c r="L91" s="42"/>
      <c r="M91" s="42"/>
      <c r="N91" s="42">
        <f>J91+(J91*0.07)</f>
        <v>438.7</v>
      </c>
      <c r="O91" s="42"/>
      <c r="P91" s="42"/>
      <c r="Q91" s="42">
        <f t="shared" si="22"/>
        <v>469.409</v>
      </c>
      <c r="R91" s="35">
        <f t="shared" si="15"/>
        <v>107</v>
      </c>
      <c r="S91" s="42"/>
      <c r="T91" s="42">
        <f t="shared" si="20"/>
        <v>506.96172</v>
      </c>
      <c r="U91" s="42">
        <f t="shared" si="21"/>
        <v>547.5186576</v>
      </c>
      <c r="V91" s="3"/>
      <c r="W91" s="37">
        <f>J91/I91*100</f>
        <v>107.89473684210526</v>
      </c>
      <c r="X91" s="37">
        <f>N91/J91*100</f>
        <v>107</v>
      </c>
    </row>
    <row r="92" spans="1:24" ht="12.75">
      <c r="A92" s="39"/>
      <c r="B92" s="40"/>
      <c r="C92" s="39"/>
      <c r="D92" s="41"/>
      <c r="E92" s="39"/>
      <c r="F92" s="39">
        <v>149</v>
      </c>
      <c r="G92" s="39" t="s">
        <v>43</v>
      </c>
      <c r="H92" s="42">
        <v>4650</v>
      </c>
      <c r="I92" s="42">
        <v>3135</v>
      </c>
      <c r="J92" s="42">
        <v>3641</v>
      </c>
      <c r="K92" s="42">
        <v>3184</v>
      </c>
      <c r="L92" s="42"/>
      <c r="M92" s="42"/>
      <c r="N92" s="42">
        <v>6589</v>
      </c>
      <c r="O92" s="42"/>
      <c r="P92" s="42"/>
      <c r="Q92" s="42">
        <f t="shared" si="22"/>
        <v>7050.23</v>
      </c>
      <c r="R92" s="35">
        <f t="shared" si="15"/>
        <v>106.99999999999999</v>
      </c>
      <c r="S92" s="42"/>
      <c r="T92" s="42">
        <f t="shared" si="20"/>
        <v>7614.2483999999995</v>
      </c>
      <c r="U92" s="42">
        <f t="shared" si="21"/>
        <v>8223.388272</v>
      </c>
      <c r="V92" s="46" t="s">
        <v>75</v>
      </c>
      <c r="W92" s="37">
        <f>J92/I92*100</f>
        <v>116.14035087719299</v>
      </c>
      <c r="X92" s="37">
        <f>N92/J92*100</f>
        <v>180.9667673716012</v>
      </c>
    </row>
    <row r="93" spans="1:24" ht="12.75">
      <c r="A93" s="39"/>
      <c r="B93" s="40"/>
      <c r="C93" s="39"/>
      <c r="D93" s="41"/>
      <c r="E93" s="39"/>
      <c r="F93" s="39">
        <v>151</v>
      </c>
      <c r="G93" s="39"/>
      <c r="H93" s="42"/>
      <c r="I93" s="42"/>
      <c r="J93" s="42"/>
      <c r="K93" s="42">
        <v>93</v>
      </c>
      <c r="L93" s="42"/>
      <c r="M93" s="42"/>
      <c r="N93" s="42"/>
      <c r="O93" s="42"/>
      <c r="P93" s="42"/>
      <c r="Q93" s="42"/>
      <c r="R93" s="35" t="e">
        <f t="shared" si="15"/>
        <v>#DIV/0!</v>
      </c>
      <c r="S93" s="42"/>
      <c r="T93" s="42"/>
      <c r="U93" s="35"/>
      <c r="V93" s="46"/>
      <c r="W93" s="37"/>
      <c r="X93" s="37"/>
    </row>
    <row r="94" spans="1:24" ht="12.75">
      <c r="A94" s="39"/>
      <c r="B94" s="40"/>
      <c r="C94" s="39"/>
      <c r="D94" s="41"/>
      <c r="E94" s="39"/>
      <c r="F94" s="39">
        <v>159</v>
      </c>
      <c r="G94" s="39" t="s">
        <v>46</v>
      </c>
      <c r="H94" s="42">
        <v>6</v>
      </c>
      <c r="I94" s="42">
        <f>H94+(H94*0.08)</f>
        <v>6.48</v>
      </c>
      <c r="J94" s="42">
        <v>9</v>
      </c>
      <c r="K94" s="42">
        <v>10</v>
      </c>
      <c r="L94" s="42"/>
      <c r="M94" s="42"/>
      <c r="N94" s="42">
        <f>J94+(J94*0.07)</f>
        <v>9.63</v>
      </c>
      <c r="O94" s="42"/>
      <c r="P94" s="42"/>
      <c r="Q94" s="42">
        <f t="shared" si="22"/>
        <v>10.304100000000002</v>
      </c>
      <c r="R94" s="35">
        <f t="shared" si="15"/>
        <v>107</v>
      </c>
      <c r="S94" s="42"/>
      <c r="T94" s="42">
        <f>Q94+(Q94*0.08)</f>
        <v>11.128428000000001</v>
      </c>
      <c r="U94" s="42">
        <f>T94+(T94*0.08)</f>
        <v>12.018702240000001</v>
      </c>
      <c r="V94" s="43"/>
      <c r="W94" s="37">
        <f>J94/I94*100</f>
        <v>138.88888888888889</v>
      </c>
      <c r="X94" s="37">
        <f>N94/J94*100</f>
        <v>107</v>
      </c>
    </row>
    <row r="95" spans="1:24" ht="25.5">
      <c r="A95" s="39"/>
      <c r="B95" s="40"/>
      <c r="C95" s="39"/>
      <c r="D95" s="41">
        <v>3</v>
      </c>
      <c r="E95" s="39" t="s">
        <v>67</v>
      </c>
      <c r="F95" s="39"/>
      <c r="G95" s="45" t="s">
        <v>76</v>
      </c>
      <c r="H95" s="42">
        <f aca="true" t="shared" si="23" ref="H95:U95">H96</f>
        <v>6360</v>
      </c>
      <c r="I95" s="42">
        <f t="shared" si="23"/>
        <v>6868.8</v>
      </c>
      <c r="J95" s="42">
        <f t="shared" si="23"/>
        <v>7349.616</v>
      </c>
      <c r="K95" s="42">
        <f t="shared" si="23"/>
        <v>7350</v>
      </c>
      <c r="L95" s="42">
        <v>7864</v>
      </c>
      <c r="M95" s="42">
        <v>7864</v>
      </c>
      <c r="N95" s="42">
        <f t="shared" si="23"/>
        <v>7350.08912</v>
      </c>
      <c r="O95" s="42"/>
      <c r="P95" s="42"/>
      <c r="Q95" s="42">
        <f t="shared" si="23"/>
        <v>7864.5953584</v>
      </c>
      <c r="R95" s="35">
        <f t="shared" si="15"/>
        <v>107</v>
      </c>
      <c r="S95" s="42"/>
      <c r="T95" s="42">
        <f t="shared" si="23"/>
        <v>8493.762987072</v>
      </c>
      <c r="U95" s="42">
        <f t="shared" si="23"/>
        <v>9173.26402603776</v>
      </c>
      <c r="V95" s="43"/>
      <c r="W95" s="37">
        <f>J95/I95*100</f>
        <v>107</v>
      </c>
      <c r="X95" s="37">
        <f>N95/J95*100</f>
        <v>100.00643734312105</v>
      </c>
    </row>
    <row r="96" spans="1:24" ht="12.75">
      <c r="A96" s="39"/>
      <c r="B96" s="40"/>
      <c r="C96" s="39"/>
      <c r="D96" s="41"/>
      <c r="E96" s="39"/>
      <c r="F96" s="39">
        <v>149</v>
      </c>
      <c r="G96" s="39" t="s">
        <v>43</v>
      </c>
      <c r="H96" s="42">
        <v>6360</v>
      </c>
      <c r="I96" s="42">
        <f>H96+(H96*0.08)</f>
        <v>6868.8</v>
      </c>
      <c r="J96" s="42">
        <f>I96+(I96*0.07)</f>
        <v>7349.616</v>
      </c>
      <c r="K96" s="42">
        <v>7350</v>
      </c>
      <c r="L96" s="42"/>
      <c r="M96" s="42"/>
      <c r="N96" s="42">
        <f>J96+(J96*0.07)-514</f>
        <v>7350.08912</v>
      </c>
      <c r="O96" s="42"/>
      <c r="P96" s="42"/>
      <c r="Q96" s="42">
        <f>N96+(N96*0.07)</f>
        <v>7864.5953584</v>
      </c>
      <c r="R96" s="35">
        <f t="shared" si="15"/>
        <v>107</v>
      </c>
      <c r="S96" s="42"/>
      <c r="T96" s="42">
        <f>Q96+(Q96*0.08)</f>
        <v>8493.762987072</v>
      </c>
      <c r="U96" s="42">
        <f>T96+(T96*0.08)</f>
        <v>9173.26402603776</v>
      </c>
      <c r="V96" s="43"/>
      <c r="W96" s="37">
        <f>J96/I96*100</f>
        <v>107</v>
      </c>
      <c r="X96" s="37">
        <f>N96/J96*100</f>
        <v>100.00643734312105</v>
      </c>
    </row>
    <row r="97" spans="1:24" ht="63.75">
      <c r="A97" s="39"/>
      <c r="B97" s="40"/>
      <c r="C97" s="39"/>
      <c r="D97" s="41">
        <v>33</v>
      </c>
      <c r="E97" s="39" t="s">
        <v>67</v>
      </c>
      <c r="F97" s="39"/>
      <c r="G97" s="55" t="s">
        <v>77</v>
      </c>
      <c r="H97" s="42">
        <f>H98+H100+H101+H102+H103+H104+H105+H108+H109+H110+H111+H112</f>
        <v>20503</v>
      </c>
      <c r="I97" s="42">
        <f>SUM(I98:I111)</f>
        <v>22184.032000000003</v>
      </c>
      <c r="J97" s="42">
        <f>J98+J100+J101+J102+J103+J104+J105+J108+J109+J110+J111+J112+J113</f>
        <v>27157.477999999996</v>
      </c>
      <c r="K97" s="42">
        <f>SUM(K98:K105,K108:K113)</f>
        <v>27157</v>
      </c>
      <c r="L97" s="42">
        <v>30220</v>
      </c>
      <c r="M97" s="42">
        <v>29794</v>
      </c>
      <c r="N97" s="42">
        <f>SUM(N98:N113)</f>
        <v>29793.957000000002</v>
      </c>
      <c r="O97" s="42">
        <f>SUM(O98:O113)</f>
        <v>22908</v>
      </c>
      <c r="P97" s="42"/>
      <c r="Q97" s="42">
        <v>6227</v>
      </c>
      <c r="R97" s="35">
        <f t="shared" si="15"/>
        <v>20.90021140864236</v>
      </c>
      <c r="S97" s="42"/>
      <c r="T97" s="42"/>
      <c r="U97" s="42"/>
      <c r="V97" s="43"/>
      <c r="W97" s="37">
        <f>J97/I97*100</f>
        <v>122.41903545757593</v>
      </c>
      <c r="X97" s="37">
        <f>N97/J97*100</f>
        <v>109.7081142807149</v>
      </c>
    </row>
    <row r="98" spans="1:24" ht="12.75">
      <c r="A98" s="39"/>
      <c r="B98" s="40"/>
      <c r="C98" s="39"/>
      <c r="D98" s="41"/>
      <c r="E98" s="39"/>
      <c r="F98" s="39">
        <v>111</v>
      </c>
      <c r="G98" s="39" t="s">
        <v>33</v>
      </c>
      <c r="H98" s="42">
        <v>12441</v>
      </c>
      <c r="I98" s="42">
        <v>13968</v>
      </c>
      <c r="J98" s="42">
        <v>17982</v>
      </c>
      <c r="K98" s="42">
        <v>17960</v>
      </c>
      <c r="L98" s="42"/>
      <c r="M98" s="42"/>
      <c r="N98" s="42">
        <v>20343</v>
      </c>
      <c r="O98" s="42">
        <v>20343</v>
      </c>
      <c r="P98" s="42"/>
      <c r="Q98" s="42">
        <v>20343</v>
      </c>
      <c r="R98" s="35">
        <f t="shared" si="15"/>
        <v>100</v>
      </c>
      <c r="S98" s="42"/>
      <c r="T98" s="42">
        <v>20343</v>
      </c>
      <c r="U98" s="42">
        <v>20343</v>
      </c>
      <c r="V98" s="46"/>
      <c r="W98" s="37">
        <f>J98/I98*100</f>
        <v>128.73711340206185</v>
      </c>
      <c r="X98" s="37">
        <f>N98/J98*100</f>
        <v>113.1297964631298</v>
      </c>
    </row>
    <row r="99" spans="1:24" ht="12.75">
      <c r="A99" s="39"/>
      <c r="B99" s="40"/>
      <c r="C99" s="39"/>
      <c r="D99" s="41"/>
      <c r="E99" s="39"/>
      <c r="F99" s="39">
        <v>112</v>
      </c>
      <c r="G99" s="39"/>
      <c r="H99" s="42"/>
      <c r="I99" s="42"/>
      <c r="J99" s="42"/>
      <c r="K99" s="42">
        <v>164</v>
      </c>
      <c r="L99" s="42"/>
      <c r="M99" s="42"/>
      <c r="N99" s="42"/>
      <c r="O99" s="42"/>
      <c r="P99" s="42"/>
      <c r="Q99" s="42"/>
      <c r="R99" s="35" t="e">
        <f t="shared" si="15"/>
        <v>#DIV/0!</v>
      </c>
      <c r="S99" s="42"/>
      <c r="T99" s="47"/>
      <c r="U99" s="35"/>
      <c r="V99" s="46"/>
      <c r="W99" s="37"/>
      <c r="X99" s="37"/>
    </row>
    <row r="100" spans="1:24" ht="12.75">
      <c r="A100" s="39"/>
      <c r="B100" s="40"/>
      <c r="C100" s="39"/>
      <c r="D100" s="41"/>
      <c r="E100" s="39"/>
      <c r="F100" s="39">
        <v>113</v>
      </c>
      <c r="G100" s="39" t="s">
        <v>35</v>
      </c>
      <c r="H100" s="42">
        <v>1021</v>
      </c>
      <c r="I100" s="42">
        <v>1276</v>
      </c>
      <c r="J100" s="42">
        <v>1663</v>
      </c>
      <c r="K100" s="42">
        <v>1663</v>
      </c>
      <c r="L100" s="42"/>
      <c r="M100" s="42"/>
      <c r="N100" s="42">
        <v>1664</v>
      </c>
      <c r="O100" s="42">
        <v>1664</v>
      </c>
      <c r="P100" s="42"/>
      <c r="Q100" s="42">
        <v>1664</v>
      </c>
      <c r="R100" s="35">
        <f t="shared" si="15"/>
        <v>100</v>
      </c>
      <c r="S100" s="42"/>
      <c r="T100" s="42">
        <v>1664</v>
      </c>
      <c r="U100" s="42">
        <v>1664</v>
      </c>
      <c r="V100" s="43"/>
      <c r="W100" s="37">
        <f aca="true" t="shared" si="24" ref="W100:W105">J100/I100*100</f>
        <v>130.32915360501568</v>
      </c>
      <c r="X100" s="37">
        <f aca="true" t="shared" si="25" ref="X100:X105">N100/J100*100</f>
        <v>100.06013229104029</v>
      </c>
    </row>
    <row r="101" spans="1:24" ht="12.75">
      <c r="A101" s="39"/>
      <c r="B101" s="40"/>
      <c r="C101" s="39"/>
      <c r="D101" s="41"/>
      <c r="E101" s="39"/>
      <c r="F101" s="39">
        <v>121</v>
      </c>
      <c r="G101" s="39" t="s">
        <v>36</v>
      </c>
      <c r="H101" s="42">
        <v>784</v>
      </c>
      <c r="I101" s="42">
        <f>(I98-(I98*0.1))*0.06</f>
        <v>754.272</v>
      </c>
      <c r="J101" s="42">
        <f>(J98-(J98*0.1))*0.06</f>
        <v>971.0279999999999</v>
      </c>
      <c r="K101" s="42">
        <v>973</v>
      </c>
      <c r="L101" s="42"/>
      <c r="M101" s="42"/>
      <c r="N101" s="42">
        <f>(N98-(N98*0.1))*0.06</f>
        <v>1098.522</v>
      </c>
      <c r="O101" s="42"/>
      <c r="P101" s="42"/>
      <c r="Q101" s="42">
        <f>(Q98-(Q98*0.1))*0.06</f>
        <v>1098.522</v>
      </c>
      <c r="R101" s="35">
        <f t="shared" si="15"/>
        <v>100</v>
      </c>
      <c r="S101" s="42"/>
      <c r="T101" s="42">
        <f>(T98-(T98*0.1))*0.06</f>
        <v>1098.522</v>
      </c>
      <c r="U101" s="42">
        <f>(U98-(U98*0.1))*0.06</f>
        <v>1098.522</v>
      </c>
      <c r="V101" s="43"/>
      <c r="W101" s="37">
        <f t="shared" si="24"/>
        <v>128.73711340206185</v>
      </c>
      <c r="X101" s="37">
        <f t="shared" si="25"/>
        <v>113.1297964631298</v>
      </c>
    </row>
    <row r="102" spans="1:24" ht="25.5">
      <c r="A102" s="39"/>
      <c r="B102" s="40"/>
      <c r="C102" s="39"/>
      <c r="D102" s="41"/>
      <c r="E102" s="39"/>
      <c r="F102" s="39">
        <v>122</v>
      </c>
      <c r="G102" s="39" t="s">
        <v>37</v>
      </c>
      <c r="H102" s="42">
        <v>448</v>
      </c>
      <c r="I102" s="42">
        <f>(I98-(I98*0.1))*0.05</f>
        <v>628.5600000000001</v>
      </c>
      <c r="J102" s="42">
        <f>(J98-(J98*0.1))*0.05</f>
        <v>809.19</v>
      </c>
      <c r="K102" s="42">
        <v>809</v>
      </c>
      <c r="L102" s="42"/>
      <c r="M102" s="42"/>
      <c r="N102" s="42">
        <f>(N98-(N98*0.1))*0.05</f>
        <v>915.4350000000001</v>
      </c>
      <c r="O102" s="42"/>
      <c r="P102" s="42"/>
      <c r="Q102" s="42">
        <f>(Q98-(Q98*0.1))*0.05</f>
        <v>915.4350000000001</v>
      </c>
      <c r="R102" s="35">
        <f t="shared" si="15"/>
        <v>100</v>
      </c>
      <c r="S102" s="42"/>
      <c r="T102" s="42">
        <f>(T98-(T98*0.1))*0.05</f>
        <v>915.4350000000001</v>
      </c>
      <c r="U102" s="42">
        <f>(U98-(U98*0.1))*0.05</f>
        <v>915.4350000000001</v>
      </c>
      <c r="V102" s="43"/>
      <c r="W102" s="37">
        <f t="shared" si="24"/>
        <v>128.73711340206185</v>
      </c>
      <c r="X102" s="37">
        <f t="shared" si="25"/>
        <v>113.1297964631298</v>
      </c>
    </row>
    <row r="103" spans="1:24" ht="38.25">
      <c r="A103" s="39"/>
      <c r="B103" s="40"/>
      <c r="C103" s="39"/>
      <c r="D103" s="41"/>
      <c r="E103" s="39"/>
      <c r="F103" s="39">
        <v>125</v>
      </c>
      <c r="G103" s="39" t="s">
        <v>38</v>
      </c>
      <c r="H103" s="42">
        <v>15</v>
      </c>
      <c r="I103" s="42">
        <f>H103+(H103*0.08)</f>
        <v>16.2</v>
      </c>
      <c r="J103" s="42">
        <v>18</v>
      </c>
      <c r="K103" s="42">
        <v>18</v>
      </c>
      <c r="L103" s="42"/>
      <c r="M103" s="42"/>
      <c r="N103" s="42">
        <v>18</v>
      </c>
      <c r="O103" s="42"/>
      <c r="P103" s="42"/>
      <c r="Q103" s="42">
        <f>N103*1.07</f>
        <v>19.26</v>
      </c>
      <c r="R103" s="35">
        <f t="shared" si="15"/>
        <v>107</v>
      </c>
      <c r="S103" s="42"/>
      <c r="T103" s="42">
        <f aca="true" t="shared" si="26" ref="T103:T109">Q103*1.08</f>
        <v>20.800800000000002</v>
      </c>
      <c r="U103" s="42">
        <f>T103*1.08</f>
        <v>22.464864000000006</v>
      </c>
      <c r="V103" s="43"/>
      <c r="W103" s="37">
        <f t="shared" si="24"/>
        <v>111.11111111111111</v>
      </c>
      <c r="X103" s="37">
        <f t="shared" si="25"/>
        <v>100</v>
      </c>
    </row>
    <row r="104" spans="1:24" ht="12.75">
      <c r="A104" s="39"/>
      <c r="B104" s="40"/>
      <c r="C104" s="39"/>
      <c r="D104" s="41"/>
      <c r="E104" s="39"/>
      <c r="F104" s="39">
        <v>139</v>
      </c>
      <c r="G104" s="39" t="s">
        <v>39</v>
      </c>
      <c r="H104" s="42">
        <v>1411</v>
      </c>
      <c r="I104" s="42">
        <v>1213</v>
      </c>
      <c r="J104" s="42">
        <v>827</v>
      </c>
      <c r="K104" s="42">
        <v>791</v>
      </c>
      <c r="L104" s="42"/>
      <c r="M104" s="42"/>
      <c r="N104" s="42">
        <v>901</v>
      </c>
      <c r="O104" s="42">
        <v>901</v>
      </c>
      <c r="P104" s="42"/>
      <c r="Q104" s="42">
        <v>901</v>
      </c>
      <c r="R104" s="35">
        <f t="shared" si="15"/>
        <v>100</v>
      </c>
      <c r="S104" s="42"/>
      <c r="T104" s="42">
        <f t="shared" si="26"/>
        <v>973.08</v>
      </c>
      <c r="U104" s="42">
        <f aca="true" t="shared" si="27" ref="U104:U109">T104*1.08</f>
        <v>1050.9264</v>
      </c>
      <c r="V104" s="43"/>
      <c r="W104" s="37">
        <f t="shared" si="24"/>
        <v>68.17807089859852</v>
      </c>
      <c r="X104" s="37">
        <f t="shared" si="25"/>
        <v>108.94800483675937</v>
      </c>
    </row>
    <row r="105" spans="1:24" ht="12.75">
      <c r="A105" s="39"/>
      <c r="B105" s="40"/>
      <c r="C105" s="39"/>
      <c r="D105" s="41"/>
      <c r="E105" s="39"/>
      <c r="F105" s="39">
        <v>141</v>
      </c>
      <c r="G105" s="39" t="s">
        <v>60</v>
      </c>
      <c r="H105" s="42">
        <v>302</v>
      </c>
      <c r="I105" s="42">
        <v>120</v>
      </c>
      <c r="J105" s="42">
        <f>J107</f>
        <v>120</v>
      </c>
      <c r="K105" s="42">
        <v>120</v>
      </c>
      <c r="L105" s="42"/>
      <c r="M105" s="42"/>
      <c r="N105" s="42">
        <v>120</v>
      </c>
      <c r="O105" s="42"/>
      <c r="P105" s="42"/>
      <c r="Q105" s="42">
        <f aca="true" t="shared" si="28" ref="Q105:Q111">N105*1.07</f>
        <v>128.4</v>
      </c>
      <c r="R105" s="35">
        <f t="shared" si="15"/>
        <v>107</v>
      </c>
      <c r="S105" s="42"/>
      <c r="T105" s="42">
        <f t="shared" si="26"/>
        <v>138.67200000000003</v>
      </c>
      <c r="U105" s="42">
        <f t="shared" si="27"/>
        <v>149.76576000000003</v>
      </c>
      <c r="V105" s="43"/>
      <c r="W105" s="37">
        <f t="shared" si="24"/>
        <v>100</v>
      </c>
      <c r="X105" s="37">
        <f t="shared" si="25"/>
        <v>100</v>
      </c>
    </row>
    <row r="106" spans="1:24" ht="12.75">
      <c r="A106" s="39"/>
      <c r="B106" s="40"/>
      <c r="C106" s="39"/>
      <c r="D106" s="41"/>
      <c r="E106" s="39"/>
      <c r="F106" s="39"/>
      <c r="G106" s="53" t="s">
        <v>58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35" t="e">
        <f t="shared" si="15"/>
        <v>#DIV/0!</v>
      </c>
      <c r="S106" s="42"/>
      <c r="T106" s="42">
        <f t="shared" si="26"/>
        <v>0</v>
      </c>
      <c r="U106" s="42">
        <f t="shared" si="27"/>
        <v>0</v>
      </c>
      <c r="V106" s="43"/>
      <c r="W106" s="37"/>
      <c r="X106" s="37"/>
    </row>
    <row r="107" spans="1:24" ht="12.75">
      <c r="A107" s="39"/>
      <c r="B107" s="40"/>
      <c r="C107" s="39"/>
      <c r="D107" s="41"/>
      <c r="E107" s="39"/>
      <c r="F107" s="39"/>
      <c r="G107" s="53" t="s">
        <v>65</v>
      </c>
      <c r="H107" s="42"/>
      <c r="I107" s="42"/>
      <c r="J107" s="42">
        <v>120</v>
      </c>
      <c r="K107" s="42"/>
      <c r="L107" s="42"/>
      <c r="M107" s="42"/>
      <c r="N107" s="42"/>
      <c r="O107" s="42"/>
      <c r="P107" s="42"/>
      <c r="Q107" s="42"/>
      <c r="R107" s="35" t="e">
        <f t="shared" si="15"/>
        <v>#DIV/0!</v>
      </c>
      <c r="S107" s="42"/>
      <c r="T107" s="42">
        <f t="shared" si="26"/>
        <v>0</v>
      </c>
      <c r="U107" s="42">
        <f t="shared" si="27"/>
        <v>0</v>
      </c>
      <c r="V107" s="43"/>
      <c r="W107" s="37"/>
      <c r="X107" s="37"/>
    </row>
    <row r="108" spans="1:24" ht="12.75">
      <c r="A108" s="39"/>
      <c r="B108" s="40"/>
      <c r="C108" s="39"/>
      <c r="D108" s="41"/>
      <c r="E108" s="39"/>
      <c r="F108" s="39">
        <v>142</v>
      </c>
      <c r="G108" s="39" t="s">
        <v>40</v>
      </c>
      <c r="H108" s="42">
        <v>54</v>
      </c>
      <c r="I108" s="42">
        <v>80</v>
      </c>
      <c r="J108" s="42">
        <v>280</v>
      </c>
      <c r="K108" s="42">
        <v>280</v>
      </c>
      <c r="L108" s="42"/>
      <c r="M108" s="42"/>
      <c r="N108" s="42">
        <v>276</v>
      </c>
      <c r="O108" s="42"/>
      <c r="P108" s="42"/>
      <c r="Q108" s="42">
        <f t="shared" si="28"/>
        <v>295.32</v>
      </c>
      <c r="R108" s="35">
        <f t="shared" si="15"/>
        <v>107</v>
      </c>
      <c r="S108" s="42"/>
      <c r="T108" s="42">
        <f t="shared" si="26"/>
        <v>318.9456</v>
      </c>
      <c r="U108" s="42">
        <f t="shared" si="27"/>
        <v>344.461248</v>
      </c>
      <c r="V108" s="43"/>
      <c r="W108" s="37">
        <f>J108/I108*100</f>
        <v>350</v>
      </c>
      <c r="X108" s="37">
        <f>N108/J108*100</f>
        <v>98.57142857142858</v>
      </c>
    </row>
    <row r="109" spans="1:24" ht="12.75">
      <c r="A109" s="39"/>
      <c r="B109" s="40"/>
      <c r="C109" s="39"/>
      <c r="D109" s="41"/>
      <c r="E109" s="39"/>
      <c r="F109" s="39">
        <v>147</v>
      </c>
      <c r="G109" s="39" t="s">
        <v>42</v>
      </c>
      <c r="H109" s="42">
        <v>2844</v>
      </c>
      <c r="I109" s="42">
        <v>2849</v>
      </c>
      <c r="J109" s="42">
        <v>3081</v>
      </c>
      <c r="K109" s="42">
        <v>3081</v>
      </c>
      <c r="L109" s="42"/>
      <c r="M109" s="42"/>
      <c r="N109" s="42">
        <v>3330</v>
      </c>
      <c r="O109" s="42"/>
      <c r="P109" s="42"/>
      <c r="Q109" s="42">
        <v>3330</v>
      </c>
      <c r="R109" s="35">
        <f t="shared" si="15"/>
        <v>100</v>
      </c>
      <c r="S109" s="42"/>
      <c r="T109" s="42">
        <f t="shared" si="26"/>
        <v>3596.4</v>
      </c>
      <c r="U109" s="42">
        <f t="shared" si="27"/>
        <v>3884.1120000000005</v>
      </c>
      <c r="V109" s="43"/>
      <c r="W109" s="37">
        <f>J109/I109*100</f>
        <v>108.14320814320814</v>
      </c>
      <c r="X109" s="37">
        <f>N109/J109*100</f>
        <v>108.08179162609541</v>
      </c>
    </row>
    <row r="110" spans="1:24" ht="12.75">
      <c r="A110" s="39"/>
      <c r="B110" s="40"/>
      <c r="C110" s="39"/>
      <c r="D110" s="41"/>
      <c r="E110" s="39"/>
      <c r="F110" s="39">
        <v>149</v>
      </c>
      <c r="G110" s="39" t="s">
        <v>43</v>
      </c>
      <c r="H110" s="42">
        <v>1168</v>
      </c>
      <c r="I110" s="42">
        <v>1261</v>
      </c>
      <c r="J110" s="42">
        <v>1235</v>
      </c>
      <c r="K110" s="42">
        <v>1105</v>
      </c>
      <c r="L110" s="42"/>
      <c r="M110" s="42"/>
      <c r="N110" s="42">
        <v>1050</v>
      </c>
      <c r="O110" s="42"/>
      <c r="P110" s="42"/>
      <c r="Q110" s="42">
        <f t="shared" si="28"/>
        <v>1123.5</v>
      </c>
      <c r="R110" s="35">
        <f t="shared" si="15"/>
        <v>107</v>
      </c>
      <c r="S110" s="42"/>
      <c r="T110" s="42">
        <f>Q110*1.06</f>
        <v>1190.91</v>
      </c>
      <c r="U110" s="42">
        <f>T110*1.06</f>
        <v>1262.3646</v>
      </c>
      <c r="V110" s="43"/>
      <c r="W110" s="37">
        <f>J110/I110*100</f>
        <v>97.9381443298969</v>
      </c>
      <c r="X110" s="37">
        <f>N110/J110*100</f>
        <v>85.02024291497976</v>
      </c>
    </row>
    <row r="111" spans="1:24" ht="12.75">
      <c r="A111" s="39"/>
      <c r="B111" s="40"/>
      <c r="C111" s="39"/>
      <c r="D111" s="41"/>
      <c r="E111" s="39"/>
      <c r="F111" s="39">
        <v>159</v>
      </c>
      <c r="G111" s="39" t="s">
        <v>46</v>
      </c>
      <c r="H111" s="42">
        <v>15</v>
      </c>
      <c r="I111" s="42">
        <v>18</v>
      </c>
      <c r="J111" s="42">
        <f>I111+(I111*0.07)</f>
        <v>19.26</v>
      </c>
      <c r="K111" s="42">
        <v>19</v>
      </c>
      <c r="L111" s="42"/>
      <c r="M111" s="42"/>
      <c r="N111" s="42">
        <v>18</v>
      </c>
      <c r="O111" s="42"/>
      <c r="P111" s="42"/>
      <c r="Q111" s="42">
        <f t="shared" si="28"/>
        <v>19.26</v>
      </c>
      <c r="R111" s="35">
        <f t="shared" si="15"/>
        <v>107</v>
      </c>
      <c r="S111" s="42"/>
      <c r="T111" s="42">
        <f>Q111*1.08</f>
        <v>20.800800000000002</v>
      </c>
      <c r="U111" s="42">
        <f>T111*1.08</f>
        <v>22.464864000000006</v>
      </c>
      <c r="V111" s="43"/>
      <c r="W111" s="37">
        <f>J111/I111*100</f>
        <v>107</v>
      </c>
      <c r="X111" s="37">
        <f>N111/J111*100</f>
        <v>93.45794392523364</v>
      </c>
    </row>
    <row r="112" spans="1:24" ht="25.5">
      <c r="A112" s="39"/>
      <c r="B112" s="40"/>
      <c r="C112" s="39"/>
      <c r="D112" s="41"/>
      <c r="E112" s="39"/>
      <c r="F112" s="39">
        <v>411</v>
      </c>
      <c r="G112" s="39" t="s">
        <v>49</v>
      </c>
      <c r="H112" s="42"/>
      <c r="I112" s="42"/>
      <c r="J112" s="42">
        <f>I112+(I112*0.07)</f>
        <v>0</v>
      </c>
      <c r="K112" s="42"/>
      <c r="L112" s="42"/>
      <c r="M112" s="42"/>
      <c r="N112" s="42"/>
      <c r="O112" s="42"/>
      <c r="P112" s="42"/>
      <c r="Q112" s="42"/>
      <c r="R112" s="35" t="e">
        <f t="shared" si="15"/>
        <v>#DIV/0!</v>
      </c>
      <c r="S112" s="42"/>
      <c r="T112" s="47"/>
      <c r="U112" s="35"/>
      <c r="V112" s="43"/>
      <c r="W112" s="37"/>
      <c r="X112" s="37"/>
    </row>
    <row r="113" spans="1:24" ht="12.75">
      <c r="A113" s="39"/>
      <c r="B113" s="40"/>
      <c r="C113" s="39"/>
      <c r="D113" s="41"/>
      <c r="E113" s="39"/>
      <c r="F113" s="39">
        <v>452</v>
      </c>
      <c r="G113" s="39" t="s">
        <v>50</v>
      </c>
      <c r="H113" s="42"/>
      <c r="I113" s="42"/>
      <c r="J113" s="42">
        <v>152</v>
      </c>
      <c r="K113" s="42">
        <v>174</v>
      </c>
      <c r="L113" s="42"/>
      <c r="M113" s="42"/>
      <c r="N113" s="42">
        <v>60</v>
      </c>
      <c r="O113" s="42"/>
      <c r="P113" s="42"/>
      <c r="Q113" s="42"/>
      <c r="R113" s="35">
        <f t="shared" si="15"/>
        <v>0</v>
      </c>
      <c r="S113" s="42"/>
      <c r="T113" s="47"/>
      <c r="U113" s="35"/>
      <c r="V113" s="43"/>
      <c r="W113" s="37"/>
      <c r="X113" s="37"/>
    </row>
    <row r="114" spans="1:24" ht="51">
      <c r="A114" s="39"/>
      <c r="B114" s="40"/>
      <c r="C114" s="39"/>
      <c r="D114" s="41">
        <v>10</v>
      </c>
      <c r="E114" s="39">
        <v>0</v>
      </c>
      <c r="F114" s="39"/>
      <c r="G114" s="51" t="s">
        <v>78</v>
      </c>
      <c r="H114" s="42"/>
      <c r="I114" s="42"/>
      <c r="J114" s="42"/>
      <c r="K114" s="42"/>
      <c r="L114" s="42"/>
      <c r="M114" s="42"/>
      <c r="N114" s="42">
        <v>4100</v>
      </c>
      <c r="O114" s="42"/>
      <c r="P114" s="42"/>
      <c r="Q114" s="42">
        <f>N114*1.07-2900</f>
        <v>1487</v>
      </c>
      <c r="R114" s="35">
        <f t="shared" si="15"/>
        <v>36.26829268292683</v>
      </c>
      <c r="S114" s="42"/>
      <c r="T114" s="47">
        <f>Q114*1.08</f>
        <v>1605.96</v>
      </c>
      <c r="U114" s="47">
        <f>T114*1.08</f>
        <v>1734.4368000000002</v>
      </c>
      <c r="V114" s="43"/>
      <c r="W114" s="37"/>
      <c r="X114" s="37"/>
    </row>
    <row r="115" spans="1:24" ht="25.5">
      <c r="A115" s="39"/>
      <c r="B115" s="40" t="s">
        <v>79</v>
      </c>
      <c r="C115" s="39"/>
      <c r="D115" s="41"/>
      <c r="E115" s="39"/>
      <c r="F115" s="39" t="s">
        <v>80</v>
      </c>
      <c r="G115" s="39" t="s">
        <v>81</v>
      </c>
      <c r="H115" s="42" t="e">
        <f aca="true" t="shared" si="29" ref="H115:U116">H116</f>
        <v>#REF!</v>
      </c>
      <c r="I115" s="42">
        <f t="shared" si="29"/>
        <v>20444.976000000002</v>
      </c>
      <c r="J115" s="42">
        <f t="shared" si="29"/>
        <v>22536</v>
      </c>
      <c r="K115" s="42"/>
      <c r="L115" s="42"/>
      <c r="M115" s="42"/>
      <c r="N115" s="42">
        <f t="shared" si="29"/>
        <v>27245.101000000002</v>
      </c>
      <c r="O115" s="42"/>
      <c r="P115" s="42"/>
      <c r="Q115" s="42">
        <f t="shared" si="29"/>
        <v>25930.800000000007</v>
      </c>
      <c r="R115" s="35">
        <f t="shared" si="15"/>
        <v>95.17600980814865</v>
      </c>
      <c r="S115" s="42"/>
      <c r="T115" s="42">
        <f t="shared" si="29"/>
        <v>27857.1974</v>
      </c>
      <c r="U115" s="42">
        <f t="shared" si="29"/>
        <v>28055.234588000003</v>
      </c>
      <c r="V115" s="43"/>
      <c r="W115" s="37">
        <f>J115/I115*100</f>
        <v>110.22756886581817</v>
      </c>
      <c r="X115" s="37">
        <f>N115/J115*100</f>
        <v>120.89590433084842</v>
      </c>
    </row>
    <row r="116" spans="1:24" ht="25.5">
      <c r="A116" s="39"/>
      <c r="B116" s="40"/>
      <c r="C116" s="39">
        <v>453</v>
      </c>
      <c r="D116" s="41"/>
      <c r="E116" s="39"/>
      <c r="F116" s="39"/>
      <c r="G116" s="39" t="s">
        <v>82</v>
      </c>
      <c r="H116" s="42" t="e">
        <f t="shared" si="29"/>
        <v>#REF!</v>
      </c>
      <c r="I116" s="42">
        <f t="shared" si="29"/>
        <v>20444.976000000002</v>
      </c>
      <c r="J116" s="42">
        <f t="shared" si="29"/>
        <v>22536</v>
      </c>
      <c r="K116" s="42">
        <f>K117+K128</f>
        <v>22536</v>
      </c>
      <c r="L116" s="42"/>
      <c r="M116" s="42"/>
      <c r="N116" s="42">
        <f t="shared" si="29"/>
        <v>27245.101000000002</v>
      </c>
      <c r="O116" s="42"/>
      <c r="P116" s="42"/>
      <c r="Q116" s="42">
        <f t="shared" si="29"/>
        <v>25930.800000000007</v>
      </c>
      <c r="R116" s="35">
        <f t="shared" si="15"/>
        <v>95.17600980814865</v>
      </c>
      <c r="S116" s="42"/>
      <c r="T116" s="42">
        <f t="shared" si="29"/>
        <v>27857.1974</v>
      </c>
      <c r="U116" s="42">
        <f t="shared" si="29"/>
        <v>28055.234588000003</v>
      </c>
      <c r="V116" s="43"/>
      <c r="W116" s="37">
        <f>J116/I116*100</f>
        <v>110.22756886581817</v>
      </c>
      <c r="X116" s="37">
        <f>N116/J116*100</f>
        <v>120.89590433084842</v>
      </c>
    </row>
    <row r="117" spans="1:24" ht="51">
      <c r="A117" s="39"/>
      <c r="B117" s="40"/>
      <c r="C117" s="39"/>
      <c r="D117" s="41">
        <v>1</v>
      </c>
      <c r="E117" s="39"/>
      <c r="F117" s="39"/>
      <c r="G117" s="45" t="s">
        <v>83</v>
      </c>
      <c r="H117" s="42" t="e">
        <f>#REF!+#REF!+#REF!</f>
        <v>#REF!</v>
      </c>
      <c r="I117" s="42">
        <f>SUM(I118:I127)</f>
        <v>20444.976000000002</v>
      </c>
      <c r="J117" s="42">
        <f>J118+J120+J121+J122+J123+J124+J125+J126+J127</f>
        <v>22536</v>
      </c>
      <c r="K117" s="42">
        <f>SUM(K118:K127)</f>
        <v>22170</v>
      </c>
      <c r="L117" s="42">
        <v>24160</v>
      </c>
      <c r="M117" s="42">
        <v>24968</v>
      </c>
      <c r="N117" s="42">
        <f>SUM(N118:N127)</f>
        <v>27245.101000000002</v>
      </c>
      <c r="O117" s="42"/>
      <c r="P117" s="42"/>
      <c r="Q117" s="42">
        <f>SUM(Q118:Q127)-1500</f>
        <v>25930.800000000007</v>
      </c>
      <c r="R117" s="35">
        <f t="shared" si="15"/>
        <v>95.17600980814865</v>
      </c>
      <c r="S117" s="42"/>
      <c r="T117" s="42">
        <f>SUM(T118:T127)</f>
        <v>27857.1974</v>
      </c>
      <c r="U117" s="42">
        <f>SUM(U118:U127)</f>
        <v>28055.234588000003</v>
      </c>
      <c r="V117" s="43" t="s">
        <v>84</v>
      </c>
      <c r="W117" s="37">
        <f>J117/I117*100</f>
        <v>110.22756886581817</v>
      </c>
      <c r="X117" s="37">
        <f>N117/J117*100</f>
        <v>120.89590433084842</v>
      </c>
    </row>
    <row r="118" spans="1:24" ht="12.75">
      <c r="A118" s="39"/>
      <c r="B118" s="40"/>
      <c r="C118" s="39"/>
      <c r="D118" s="41"/>
      <c r="E118" s="39"/>
      <c r="F118" s="39">
        <v>111</v>
      </c>
      <c r="G118" s="39" t="s">
        <v>33</v>
      </c>
      <c r="H118" s="42">
        <v>9121</v>
      </c>
      <c r="I118" s="42">
        <v>10424</v>
      </c>
      <c r="J118" s="42">
        <v>11894</v>
      </c>
      <c r="K118" s="42">
        <v>11866</v>
      </c>
      <c r="L118" s="42"/>
      <c r="M118" s="42"/>
      <c r="N118" s="42">
        <v>13799</v>
      </c>
      <c r="O118" s="42"/>
      <c r="P118" s="42"/>
      <c r="Q118" s="42">
        <v>13800</v>
      </c>
      <c r="R118" s="35">
        <f t="shared" si="15"/>
        <v>100.00724690194942</v>
      </c>
      <c r="S118" s="42"/>
      <c r="T118" s="47">
        <v>13800</v>
      </c>
      <c r="U118" s="47">
        <v>13800</v>
      </c>
      <c r="V118" s="46"/>
      <c r="W118" s="37">
        <f>J118/I118*100</f>
        <v>114.1020721412126</v>
      </c>
      <c r="X118" s="37">
        <f>N118/J118*100</f>
        <v>116.01647889692282</v>
      </c>
    </row>
    <row r="119" spans="1:24" ht="12.75">
      <c r="A119" s="39"/>
      <c r="B119" s="40"/>
      <c r="C119" s="39"/>
      <c r="D119" s="41"/>
      <c r="E119" s="39"/>
      <c r="F119" s="39">
        <v>112</v>
      </c>
      <c r="G119" s="39"/>
      <c r="H119" s="42"/>
      <c r="I119" s="42"/>
      <c r="J119" s="42"/>
      <c r="K119" s="42">
        <v>895</v>
      </c>
      <c r="L119" s="42"/>
      <c r="M119" s="42"/>
      <c r="N119" s="42"/>
      <c r="O119" s="42"/>
      <c r="P119" s="42"/>
      <c r="Q119" s="42"/>
      <c r="R119" s="35" t="e">
        <f t="shared" si="15"/>
        <v>#DIV/0!</v>
      </c>
      <c r="S119" s="42"/>
      <c r="T119" s="47"/>
      <c r="U119" s="35"/>
      <c r="V119" s="46"/>
      <c r="W119" s="37"/>
      <c r="X119" s="37"/>
    </row>
    <row r="120" spans="1:24" ht="12.75">
      <c r="A120" s="39"/>
      <c r="B120" s="40"/>
      <c r="C120" s="39"/>
      <c r="D120" s="41"/>
      <c r="E120" s="39"/>
      <c r="F120" s="39">
        <v>113</v>
      </c>
      <c r="G120" s="39" t="s">
        <v>35</v>
      </c>
      <c r="H120" s="42">
        <v>1521</v>
      </c>
      <c r="I120" s="42">
        <v>1934</v>
      </c>
      <c r="J120" s="42">
        <v>2206</v>
      </c>
      <c r="K120" s="42">
        <v>2246</v>
      </c>
      <c r="L120" s="42"/>
      <c r="M120" s="42"/>
      <c r="N120" s="42">
        <v>2300</v>
      </c>
      <c r="O120" s="42"/>
      <c r="P120" s="42"/>
      <c r="Q120" s="42">
        <v>2300</v>
      </c>
      <c r="R120" s="35">
        <f t="shared" si="15"/>
        <v>100</v>
      </c>
      <c r="S120" s="42"/>
      <c r="T120" s="47">
        <v>2300</v>
      </c>
      <c r="U120" s="35">
        <v>2300</v>
      </c>
      <c r="V120" s="46"/>
      <c r="W120" s="37">
        <f aca="true" t="shared" si="30" ref="W120:W127">J120/I120*100</f>
        <v>114.06411582213029</v>
      </c>
      <c r="X120" s="37">
        <f aca="true" t="shared" si="31" ref="X120:X127">N120/J120*100</f>
        <v>104.26110607434269</v>
      </c>
    </row>
    <row r="121" spans="1:24" ht="12.75">
      <c r="A121" s="39"/>
      <c r="B121" s="40"/>
      <c r="C121" s="39"/>
      <c r="D121" s="41"/>
      <c r="E121" s="39"/>
      <c r="F121" s="39">
        <v>121</v>
      </c>
      <c r="G121" s="39" t="s">
        <v>36</v>
      </c>
      <c r="H121" s="42">
        <v>575</v>
      </c>
      <c r="I121" s="42">
        <f>(I118-(I118*0.1))*0.06</f>
        <v>562.896</v>
      </c>
      <c r="J121" s="42">
        <v>642</v>
      </c>
      <c r="K121" s="42">
        <v>690</v>
      </c>
      <c r="L121" s="42"/>
      <c r="M121" s="42"/>
      <c r="N121" s="42">
        <f>(N118-(N118*0.1))*0.06</f>
        <v>745.146</v>
      </c>
      <c r="O121" s="42"/>
      <c r="P121" s="42"/>
      <c r="Q121" s="42">
        <f>(Q118-(Q118*0.1))*0.06</f>
        <v>745.1999999999999</v>
      </c>
      <c r="R121" s="35">
        <f t="shared" si="15"/>
        <v>100.00724690194942</v>
      </c>
      <c r="S121" s="42"/>
      <c r="T121" s="42">
        <f>(T118-(T118*0.1))*0.06</f>
        <v>745.1999999999999</v>
      </c>
      <c r="U121" s="42">
        <f>(U118-(U118*0.1))*0.06</f>
        <v>745.1999999999999</v>
      </c>
      <c r="V121" s="46"/>
      <c r="W121" s="37">
        <f t="shared" si="30"/>
        <v>114.05303999317815</v>
      </c>
      <c r="X121" s="37">
        <f t="shared" si="31"/>
        <v>116.0663551401869</v>
      </c>
    </row>
    <row r="122" spans="1:24" ht="25.5">
      <c r="A122" s="39"/>
      <c r="B122" s="40"/>
      <c r="C122" s="39"/>
      <c r="D122" s="41"/>
      <c r="E122" s="39"/>
      <c r="F122" s="39">
        <v>122</v>
      </c>
      <c r="G122" s="39" t="s">
        <v>37</v>
      </c>
      <c r="H122" s="42">
        <v>329</v>
      </c>
      <c r="I122" s="42">
        <f>(I118-(I118*0.1))*0.05</f>
        <v>469.08000000000004</v>
      </c>
      <c r="J122" s="42">
        <v>535</v>
      </c>
      <c r="K122" s="42">
        <v>577</v>
      </c>
      <c r="L122" s="42"/>
      <c r="M122" s="42"/>
      <c r="N122" s="42">
        <f>(N118-(N118*0.1))*0.05</f>
        <v>620.955</v>
      </c>
      <c r="O122" s="42"/>
      <c r="P122" s="42"/>
      <c r="Q122" s="42">
        <f>(Q118-(Q118*0.1))*0.05</f>
        <v>621</v>
      </c>
      <c r="R122" s="35">
        <f t="shared" si="15"/>
        <v>100.00724690194942</v>
      </c>
      <c r="S122" s="42"/>
      <c r="T122" s="42">
        <f>(T118-(T118*0.1))*0.05</f>
        <v>621</v>
      </c>
      <c r="U122" s="42">
        <f>(U118-(U118*0.1))*0.05</f>
        <v>621</v>
      </c>
      <c r="V122" s="46"/>
      <c r="W122" s="37">
        <f t="shared" si="30"/>
        <v>114.05303999317813</v>
      </c>
      <c r="X122" s="37">
        <f t="shared" si="31"/>
        <v>116.06635514018693</v>
      </c>
    </row>
    <row r="123" spans="1:24" ht="38.25">
      <c r="A123" s="39"/>
      <c r="B123" s="40"/>
      <c r="C123" s="39"/>
      <c r="D123" s="41"/>
      <c r="E123" s="39"/>
      <c r="F123" s="39">
        <v>125</v>
      </c>
      <c r="G123" s="39" t="s">
        <v>38</v>
      </c>
      <c r="H123" s="42">
        <v>9</v>
      </c>
      <c r="I123" s="42">
        <v>7</v>
      </c>
      <c r="J123" s="42">
        <v>0</v>
      </c>
      <c r="K123" s="42">
        <v>9</v>
      </c>
      <c r="L123" s="42"/>
      <c r="M123" s="42"/>
      <c r="N123" s="42">
        <v>12</v>
      </c>
      <c r="O123" s="42"/>
      <c r="P123" s="42"/>
      <c r="Q123" s="42">
        <f>N123+(N123*0.07)</f>
        <v>12.84</v>
      </c>
      <c r="R123" s="35">
        <f t="shared" si="15"/>
        <v>107</v>
      </c>
      <c r="S123" s="42"/>
      <c r="T123" s="42">
        <f>Q123+(Q123*0.08)</f>
        <v>13.8672</v>
      </c>
      <c r="U123" s="42">
        <f>T123+(T123*0.08)</f>
        <v>14.976576000000001</v>
      </c>
      <c r="V123" s="46"/>
      <c r="W123" s="37">
        <f t="shared" si="30"/>
        <v>0</v>
      </c>
      <c r="X123" s="37" t="e">
        <f t="shared" si="31"/>
        <v>#DIV/0!</v>
      </c>
    </row>
    <row r="124" spans="1:24" ht="12.75">
      <c r="A124" s="39"/>
      <c r="B124" s="40"/>
      <c r="C124" s="39"/>
      <c r="D124" s="41"/>
      <c r="E124" s="39"/>
      <c r="F124" s="39">
        <v>139</v>
      </c>
      <c r="G124" s="39" t="s">
        <v>39</v>
      </c>
      <c r="H124" s="42">
        <v>4681</v>
      </c>
      <c r="I124" s="42">
        <v>3343</v>
      </c>
      <c r="J124" s="42">
        <v>3436</v>
      </c>
      <c r="K124" s="42">
        <v>2548</v>
      </c>
      <c r="L124" s="42"/>
      <c r="M124" s="42"/>
      <c r="N124" s="42">
        <v>4495</v>
      </c>
      <c r="O124" s="42"/>
      <c r="P124" s="42"/>
      <c r="Q124" s="42">
        <f>N124+(N124*0.07)</f>
        <v>4809.65</v>
      </c>
      <c r="R124" s="35">
        <f t="shared" si="15"/>
        <v>106.99999999999999</v>
      </c>
      <c r="S124" s="42"/>
      <c r="T124" s="42">
        <v>5000</v>
      </c>
      <c r="U124" s="42">
        <v>5116</v>
      </c>
      <c r="V124" s="46"/>
      <c r="W124" s="37">
        <f t="shared" si="30"/>
        <v>102.78193239605145</v>
      </c>
      <c r="X124" s="37">
        <f t="shared" si="31"/>
        <v>130.82072176949941</v>
      </c>
    </row>
    <row r="125" spans="1:24" ht="12.75">
      <c r="A125" s="39"/>
      <c r="B125" s="40"/>
      <c r="C125" s="39"/>
      <c r="D125" s="41"/>
      <c r="E125" s="39"/>
      <c r="F125" s="39">
        <v>142</v>
      </c>
      <c r="G125" s="39" t="s">
        <v>40</v>
      </c>
      <c r="H125" s="42">
        <v>418</v>
      </c>
      <c r="I125" s="42">
        <v>365</v>
      </c>
      <c r="J125" s="42">
        <v>374</v>
      </c>
      <c r="K125" s="42">
        <v>374</v>
      </c>
      <c r="L125" s="42"/>
      <c r="M125" s="42"/>
      <c r="N125" s="42">
        <v>373</v>
      </c>
      <c r="O125" s="42"/>
      <c r="P125" s="42"/>
      <c r="Q125" s="42">
        <f>N125+(N125*0.07)</f>
        <v>399.11</v>
      </c>
      <c r="R125" s="35">
        <f t="shared" si="15"/>
        <v>107</v>
      </c>
      <c r="S125" s="42"/>
      <c r="T125" s="42">
        <f>Q125+(Q125*0.06)</f>
        <v>423.0566</v>
      </c>
      <c r="U125" s="42">
        <f>T125+(T125*0.06)</f>
        <v>448.439996</v>
      </c>
      <c r="V125" s="46"/>
      <c r="W125" s="37">
        <f t="shared" si="30"/>
        <v>102.46575342465754</v>
      </c>
      <c r="X125" s="37">
        <f t="shared" si="31"/>
        <v>99.73262032085562</v>
      </c>
    </row>
    <row r="126" spans="1:24" ht="12.75">
      <c r="A126" s="39"/>
      <c r="B126" s="40"/>
      <c r="C126" s="39"/>
      <c r="D126" s="41"/>
      <c r="E126" s="39"/>
      <c r="F126" s="39">
        <v>149</v>
      </c>
      <c r="G126" s="39" t="s">
        <v>43</v>
      </c>
      <c r="H126" s="42">
        <v>5870</v>
      </c>
      <c r="I126" s="42">
        <v>3336</v>
      </c>
      <c r="J126" s="42">
        <v>3439</v>
      </c>
      <c r="K126" s="42">
        <v>2958</v>
      </c>
      <c r="L126" s="42"/>
      <c r="M126" s="42"/>
      <c r="N126" s="42">
        <v>4892</v>
      </c>
      <c r="O126" s="42"/>
      <c r="P126" s="42"/>
      <c r="Q126" s="42">
        <f>N126+(N126*0.07)-500</f>
        <v>4734.4400000000005</v>
      </c>
      <c r="R126" s="35">
        <f t="shared" si="15"/>
        <v>96.77923139820116</v>
      </c>
      <c r="S126" s="42"/>
      <c r="T126" s="42">
        <f>4130+815</f>
        <v>4945</v>
      </c>
      <c r="U126" s="42">
        <v>5000</v>
      </c>
      <c r="V126" s="46" t="s">
        <v>85</v>
      </c>
      <c r="W126" s="37">
        <f t="shared" si="30"/>
        <v>103.08752997601917</v>
      </c>
      <c r="X126" s="37">
        <f t="shared" si="31"/>
        <v>142.25065425995928</v>
      </c>
    </row>
    <row r="127" spans="1:24" ht="12.75">
      <c r="A127" s="39"/>
      <c r="B127" s="40"/>
      <c r="C127" s="39"/>
      <c r="D127" s="41"/>
      <c r="E127" s="39"/>
      <c r="F127" s="39">
        <v>159</v>
      </c>
      <c r="G127" s="39" t="s">
        <v>46</v>
      </c>
      <c r="H127" s="42">
        <v>10</v>
      </c>
      <c r="I127" s="42">
        <v>4</v>
      </c>
      <c r="J127" s="42">
        <v>10</v>
      </c>
      <c r="K127" s="42">
        <v>7</v>
      </c>
      <c r="L127" s="42"/>
      <c r="M127" s="42"/>
      <c r="N127" s="42">
        <v>8</v>
      </c>
      <c r="O127" s="42"/>
      <c r="P127" s="42"/>
      <c r="Q127" s="42">
        <f>N127+(N127*0.07)</f>
        <v>8.56</v>
      </c>
      <c r="R127" s="35">
        <f t="shared" si="15"/>
        <v>107</v>
      </c>
      <c r="S127" s="42"/>
      <c r="T127" s="42">
        <f>Q127+(Q127*0.06)</f>
        <v>9.0736</v>
      </c>
      <c r="U127" s="42">
        <f>T127+(T127*0.06)</f>
        <v>9.618016</v>
      </c>
      <c r="V127" s="46"/>
      <c r="W127" s="37">
        <f t="shared" si="30"/>
        <v>250</v>
      </c>
      <c r="X127" s="37">
        <f t="shared" si="31"/>
        <v>80</v>
      </c>
    </row>
    <row r="128" spans="1:24" ht="25.5">
      <c r="A128" s="39"/>
      <c r="B128" s="40"/>
      <c r="C128" s="39"/>
      <c r="D128" s="41"/>
      <c r="E128" s="39"/>
      <c r="F128" s="39"/>
      <c r="G128" s="51" t="s">
        <v>47</v>
      </c>
      <c r="H128" s="42"/>
      <c r="I128" s="42"/>
      <c r="J128" s="42"/>
      <c r="K128" s="42">
        <v>366</v>
      </c>
      <c r="L128" s="42"/>
      <c r="M128" s="42"/>
      <c r="N128" s="42"/>
      <c r="O128" s="42"/>
      <c r="P128" s="42"/>
      <c r="Q128" s="42"/>
      <c r="R128" s="35" t="e">
        <f t="shared" si="15"/>
        <v>#DIV/0!</v>
      </c>
      <c r="S128" s="42"/>
      <c r="T128" s="42"/>
      <c r="U128" s="35"/>
      <c r="V128" s="46"/>
      <c r="W128" s="37"/>
      <c r="X128" s="37"/>
    </row>
    <row r="129" spans="1:24" ht="12.75">
      <c r="A129" s="39">
        <v>2</v>
      </c>
      <c r="B129" s="40"/>
      <c r="C129" s="39"/>
      <c r="D129" s="41"/>
      <c r="E129" s="39"/>
      <c r="F129" s="39"/>
      <c r="G129" s="34" t="s">
        <v>86</v>
      </c>
      <c r="H129" s="42">
        <f aca="true" t="shared" si="32" ref="H129:U129">H130+H139</f>
        <v>19939</v>
      </c>
      <c r="I129" s="42">
        <f t="shared" si="32"/>
        <v>25237</v>
      </c>
      <c r="J129" s="42">
        <f t="shared" si="32"/>
        <v>39756</v>
      </c>
      <c r="K129" s="42"/>
      <c r="L129" s="42"/>
      <c r="M129" s="42"/>
      <c r="N129" s="42">
        <f t="shared" si="32"/>
        <v>31105.68</v>
      </c>
      <c r="O129" s="42"/>
      <c r="P129" s="42"/>
      <c r="Q129" s="42">
        <f t="shared" si="32"/>
        <v>41891.9676</v>
      </c>
      <c r="R129" s="35">
        <f t="shared" si="15"/>
        <v>134.67626362773618</v>
      </c>
      <c r="S129" s="42"/>
      <c r="T129" s="42">
        <f t="shared" si="32"/>
        <v>33085.325008</v>
      </c>
      <c r="U129" s="42">
        <f t="shared" si="32"/>
        <v>34320.151008639994</v>
      </c>
      <c r="V129" s="43"/>
      <c r="W129" s="37">
        <f>J129/I129*100</f>
        <v>157.53060981891667</v>
      </c>
      <c r="X129" s="37">
        <f>N129/J129*100</f>
        <v>78.24147298520978</v>
      </c>
    </row>
    <row r="130" spans="1:24" ht="25.5">
      <c r="A130" s="39"/>
      <c r="B130" s="40" t="s">
        <v>28</v>
      </c>
      <c r="C130" s="39"/>
      <c r="D130" s="41"/>
      <c r="E130" s="39"/>
      <c r="F130" s="39"/>
      <c r="G130" s="39" t="s">
        <v>87</v>
      </c>
      <c r="H130" s="42">
        <f aca="true" t="shared" si="33" ref="H130:U131">H131</f>
        <v>11497</v>
      </c>
      <c r="I130" s="42">
        <f t="shared" si="33"/>
        <v>12049</v>
      </c>
      <c r="J130" s="42">
        <f t="shared" si="33"/>
        <v>32065</v>
      </c>
      <c r="K130" s="42"/>
      <c r="L130" s="42"/>
      <c r="M130" s="42"/>
      <c r="N130" s="42">
        <f t="shared" si="33"/>
        <v>22876.68</v>
      </c>
      <c r="O130" s="42"/>
      <c r="P130" s="42"/>
      <c r="Q130" s="42">
        <f t="shared" si="33"/>
        <v>23086.9376</v>
      </c>
      <c r="R130" s="35">
        <f t="shared" si="15"/>
        <v>100.91909140662018</v>
      </c>
      <c r="S130" s="42"/>
      <c r="T130" s="42">
        <f t="shared" si="33"/>
        <v>23575.892608000002</v>
      </c>
      <c r="U130" s="42">
        <f t="shared" si="33"/>
        <v>24049.96401664</v>
      </c>
      <c r="V130" s="43"/>
      <c r="W130" s="37">
        <f>J130/I130*100</f>
        <v>266.1216698481202</v>
      </c>
      <c r="X130" s="37">
        <f>N130/J130*100</f>
        <v>71.34470606580385</v>
      </c>
    </row>
    <row r="131" spans="1:24" ht="12.75">
      <c r="A131" s="39"/>
      <c r="B131" s="40"/>
      <c r="C131" s="39">
        <v>122</v>
      </c>
      <c r="D131" s="41"/>
      <c r="E131" s="39"/>
      <c r="F131" s="39"/>
      <c r="G131" s="39" t="s">
        <v>53</v>
      </c>
      <c r="H131" s="42">
        <f t="shared" si="33"/>
        <v>11497</v>
      </c>
      <c r="I131" s="42">
        <f t="shared" si="33"/>
        <v>12049</v>
      </c>
      <c r="J131" s="42">
        <f t="shared" si="33"/>
        <v>32065</v>
      </c>
      <c r="K131" s="42"/>
      <c r="L131" s="42"/>
      <c r="M131" s="42"/>
      <c r="N131" s="42">
        <f t="shared" si="33"/>
        <v>22876.68</v>
      </c>
      <c r="O131" s="42"/>
      <c r="P131" s="42"/>
      <c r="Q131" s="42">
        <f t="shared" si="33"/>
        <v>23086.9376</v>
      </c>
      <c r="R131" s="35">
        <f t="shared" si="15"/>
        <v>100.91909140662018</v>
      </c>
      <c r="S131" s="42"/>
      <c r="T131" s="42">
        <f t="shared" si="33"/>
        <v>23575.892608000002</v>
      </c>
      <c r="U131" s="42">
        <f t="shared" si="33"/>
        <v>24049.96401664</v>
      </c>
      <c r="V131" s="43"/>
      <c r="W131" s="37">
        <f>J131/I131*100</f>
        <v>266.1216698481202</v>
      </c>
      <c r="X131" s="37">
        <f>N131/J131*100</f>
        <v>71.34470606580385</v>
      </c>
    </row>
    <row r="132" spans="1:24" ht="25.5">
      <c r="A132" s="39"/>
      <c r="B132" s="40"/>
      <c r="C132" s="39"/>
      <c r="D132" s="41">
        <v>5</v>
      </c>
      <c r="E132" s="39" t="s">
        <v>67</v>
      </c>
      <c r="F132" s="39"/>
      <c r="G132" s="45" t="s">
        <v>88</v>
      </c>
      <c r="H132" s="42">
        <f>H134+H135+H138</f>
        <v>11497</v>
      </c>
      <c r="I132" s="42">
        <f aca="true" t="shared" si="34" ref="I132:U132">SUM(I133:I138)</f>
        <v>12049</v>
      </c>
      <c r="J132" s="42">
        <f t="shared" si="34"/>
        <v>32065</v>
      </c>
      <c r="K132" s="42">
        <f t="shared" si="34"/>
        <v>32065</v>
      </c>
      <c r="L132" s="42">
        <v>22297</v>
      </c>
      <c r="M132" s="42">
        <v>22877</v>
      </c>
      <c r="N132" s="42">
        <f t="shared" si="34"/>
        <v>22876.68</v>
      </c>
      <c r="O132" s="42"/>
      <c r="P132" s="42"/>
      <c r="Q132" s="42">
        <f>SUM(Q133:Q138)</f>
        <v>23086.9376</v>
      </c>
      <c r="R132" s="35">
        <f t="shared" si="15"/>
        <v>100.91909140662018</v>
      </c>
      <c r="S132" s="42"/>
      <c r="T132" s="42">
        <f t="shared" si="34"/>
        <v>23575.892608000002</v>
      </c>
      <c r="U132" s="42">
        <f t="shared" si="34"/>
        <v>24049.96401664</v>
      </c>
      <c r="V132" s="43"/>
      <c r="W132" s="37">
        <f>J132/I132*100</f>
        <v>266.1216698481202</v>
      </c>
      <c r="X132" s="37">
        <f>N132/J132*100</f>
        <v>71.34470606580385</v>
      </c>
    </row>
    <row r="133" spans="1:24" ht="25.5">
      <c r="A133" s="39"/>
      <c r="B133" s="40"/>
      <c r="C133" s="39"/>
      <c r="D133" s="41"/>
      <c r="E133" s="39"/>
      <c r="F133" s="39">
        <v>132</v>
      </c>
      <c r="G133" s="31" t="s">
        <v>89</v>
      </c>
      <c r="H133" s="42"/>
      <c r="I133" s="42">
        <v>52</v>
      </c>
      <c r="J133" s="42">
        <v>52</v>
      </c>
      <c r="K133" s="42">
        <v>52</v>
      </c>
      <c r="L133" s="42"/>
      <c r="M133" s="42"/>
      <c r="N133" s="42">
        <v>52</v>
      </c>
      <c r="O133" s="42"/>
      <c r="P133" s="42"/>
      <c r="Q133" s="42">
        <f>N133+(N133*0.07)</f>
        <v>55.64</v>
      </c>
      <c r="R133" s="35">
        <f t="shared" si="15"/>
        <v>107</v>
      </c>
      <c r="S133" s="42"/>
      <c r="T133" s="42">
        <f>Q133+(Q133*0.08)</f>
        <v>60.0912</v>
      </c>
      <c r="U133" s="42">
        <f>T133+(T133*0.08)</f>
        <v>64.898496</v>
      </c>
      <c r="V133" s="43"/>
      <c r="W133" s="37"/>
      <c r="X133" s="37"/>
    </row>
    <row r="134" spans="1:24" ht="12.75">
      <c r="A134" s="39"/>
      <c r="B134" s="40"/>
      <c r="C134" s="39"/>
      <c r="D134" s="41"/>
      <c r="E134" s="39"/>
      <c r="F134" s="39">
        <v>139</v>
      </c>
      <c r="G134" s="39" t="s">
        <v>39</v>
      </c>
      <c r="H134" s="42">
        <v>1732</v>
      </c>
      <c r="I134" s="42">
        <v>1456</v>
      </c>
      <c r="J134" s="42">
        <v>1163</v>
      </c>
      <c r="K134" s="42">
        <v>703</v>
      </c>
      <c r="L134" s="42"/>
      <c r="M134" s="42"/>
      <c r="N134" s="42">
        <v>1077</v>
      </c>
      <c r="O134" s="42"/>
      <c r="P134" s="42"/>
      <c r="Q134" s="42">
        <f>N134+(N134*0.07)</f>
        <v>1152.39</v>
      </c>
      <c r="R134" s="35">
        <f t="shared" si="15"/>
        <v>107</v>
      </c>
      <c r="S134" s="42"/>
      <c r="T134" s="42">
        <f>Q134+(Q134*0.08)</f>
        <v>1244.5812</v>
      </c>
      <c r="U134" s="42">
        <f>T134+(T134*0.08)</f>
        <v>1344.147696</v>
      </c>
      <c r="V134" s="43"/>
      <c r="W134" s="37">
        <f>J134/I134*100</f>
        <v>79.87637362637363</v>
      </c>
      <c r="X134" s="37">
        <f>N134/J134*100</f>
        <v>92.60533104041274</v>
      </c>
    </row>
    <row r="135" spans="1:24" ht="12.75">
      <c r="A135" s="39"/>
      <c r="B135" s="40"/>
      <c r="C135" s="39"/>
      <c r="D135" s="41"/>
      <c r="E135" s="39"/>
      <c r="F135" s="39">
        <v>141</v>
      </c>
      <c r="G135" s="39" t="s">
        <v>60</v>
      </c>
      <c r="H135" s="42">
        <v>400</v>
      </c>
      <c r="I135" s="42">
        <v>280</v>
      </c>
      <c r="J135" s="42">
        <v>724</v>
      </c>
      <c r="K135" s="42">
        <v>724</v>
      </c>
      <c r="L135" s="42"/>
      <c r="M135" s="42"/>
      <c r="N135" s="42">
        <f>J135+(J135*0.07)</f>
        <v>774.6800000000001</v>
      </c>
      <c r="O135" s="42"/>
      <c r="P135" s="42"/>
      <c r="Q135" s="42">
        <f>N135+(N135*0.07)</f>
        <v>828.9076000000001</v>
      </c>
      <c r="R135" s="35">
        <f t="shared" si="15"/>
        <v>107</v>
      </c>
      <c r="S135" s="42"/>
      <c r="T135" s="42">
        <f>Q135+(Q135*0.08)</f>
        <v>895.2202080000002</v>
      </c>
      <c r="U135" s="42">
        <f>T135+(T135*0.08)</f>
        <v>966.8378246400002</v>
      </c>
      <c r="V135" s="43"/>
      <c r="W135" s="37">
        <f>J135/I135*100</f>
        <v>258.5714285714286</v>
      </c>
      <c r="X135" s="37">
        <f>N135/J135*100</f>
        <v>107</v>
      </c>
    </row>
    <row r="136" spans="1:24" ht="12.75">
      <c r="A136" s="39"/>
      <c r="B136" s="40"/>
      <c r="C136" s="39"/>
      <c r="D136" s="41"/>
      <c r="E136" s="39"/>
      <c r="F136" s="39">
        <v>143</v>
      </c>
      <c r="G136" s="39" t="s">
        <v>41</v>
      </c>
      <c r="H136" s="42"/>
      <c r="I136" s="42"/>
      <c r="J136" s="42">
        <v>630</v>
      </c>
      <c r="K136" s="42">
        <v>630</v>
      </c>
      <c r="L136" s="42"/>
      <c r="M136" s="42"/>
      <c r="N136" s="42">
        <v>810</v>
      </c>
      <c r="O136" s="42"/>
      <c r="P136" s="42"/>
      <c r="Q136" s="42">
        <v>810</v>
      </c>
      <c r="R136" s="35">
        <f aca="true" t="shared" si="35" ref="R136:R202">Q136/N136*100</f>
        <v>100</v>
      </c>
      <c r="S136" s="42"/>
      <c r="T136" s="42">
        <f>Q136+(Q136*0.08)</f>
        <v>874.8</v>
      </c>
      <c r="U136" s="42">
        <f>T136+(T136*0.08)</f>
        <v>944.784</v>
      </c>
      <c r="V136" s="43"/>
      <c r="W136" s="37"/>
      <c r="X136" s="37"/>
    </row>
    <row r="137" spans="1:24" ht="12.75">
      <c r="A137" s="39"/>
      <c r="B137" s="40"/>
      <c r="C137" s="39"/>
      <c r="D137" s="41"/>
      <c r="E137" s="39"/>
      <c r="F137" s="39">
        <v>147</v>
      </c>
      <c r="G137" s="39" t="s">
        <v>42</v>
      </c>
      <c r="H137" s="42"/>
      <c r="I137" s="42"/>
      <c r="J137" s="42">
        <v>2438</v>
      </c>
      <c r="K137" s="42">
        <v>2640</v>
      </c>
      <c r="L137" s="42"/>
      <c r="M137" s="42"/>
      <c r="N137" s="42">
        <v>2640</v>
      </c>
      <c r="O137" s="42"/>
      <c r="P137" s="42"/>
      <c r="Q137" s="42">
        <v>2640</v>
      </c>
      <c r="R137" s="35">
        <f t="shared" si="35"/>
        <v>100</v>
      </c>
      <c r="S137" s="42"/>
      <c r="T137" s="42">
        <f>Q137+(Q137*0.08)</f>
        <v>2851.2</v>
      </c>
      <c r="U137" s="42">
        <f>T137+(T137*0.08)</f>
        <v>3079.296</v>
      </c>
      <c r="V137" s="43"/>
      <c r="W137" s="37"/>
      <c r="X137" s="37"/>
    </row>
    <row r="138" spans="1:24" ht="12.75">
      <c r="A138" s="39"/>
      <c r="B138" s="40"/>
      <c r="C138" s="39"/>
      <c r="D138" s="41"/>
      <c r="E138" s="39"/>
      <c r="F138" s="39">
        <v>149</v>
      </c>
      <c r="G138" s="39" t="s">
        <v>43</v>
      </c>
      <c r="H138" s="42">
        <v>9365</v>
      </c>
      <c r="I138" s="42">
        <f>10261</f>
        <v>10261</v>
      </c>
      <c r="J138" s="42">
        <v>27058</v>
      </c>
      <c r="K138" s="42">
        <v>27316</v>
      </c>
      <c r="L138" s="42"/>
      <c r="M138" s="42"/>
      <c r="N138" s="42">
        <v>17523</v>
      </c>
      <c r="O138" s="42">
        <v>17523</v>
      </c>
      <c r="P138" s="42"/>
      <c r="Q138" s="42">
        <v>17600</v>
      </c>
      <c r="R138" s="35">
        <f t="shared" si="35"/>
        <v>100.43942247332079</v>
      </c>
      <c r="S138" s="42"/>
      <c r="T138" s="42">
        <v>17650</v>
      </c>
      <c r="U138" s="42">
        <v>17650</v>
      </c>
      <c r="V138" s="48" t="s">
        <v>90</v>
      </c>
      <c r="W138" s="37">
        <f aca="true" t="shared" si="36" ref="W138:W144">J138/I138*100</f>
        <v>263.69749537082157</v>
      </c>
      <c r="X138" s="37">
        <f aca="true" t="shared" si="37" ref="X138:X144">N138/J138*100</f>
        <v>64.76088402690516</v>
      </c>
    </row>
    <row r="139" spans="1:24" ht="25.5">
      <c r="A139" s="39"/>
      <c r="B139" s="40" t="s">
        <v>69</v>
      </c>
      <c r="C139" s="39"/>
      <c r="D139" s="41"/>
      <c r="E139" s="39"/>
      <c r="F139" s="39"/>
      <c r="G139" s="39" t="s">
        <v>91</v>
      </c>
      <c r="H139" s="42">
        <f aca="true" t="shared" si="38" ref="H139:U139">H140</f>
        <v>8442</v>
      </c>
      <c r="I139" s="42">
        <f t="shared" si="38"/>
        <v>13188</v>
      </c>
      <c r="J139" s="42">
        <f t="shared" si="38"/>
        <v>7691</v>
      </c>
      <c r="K139" s="42"/>
      <c r="L139" s="42"/>
      <c r="M139" s="42"/>
      <c r="N139" s="42">
        <f t="shared" si="38"/>
        <v>8229</v>
      </c>
      <c r="O139" s="42"/>
      <c r="P139" s="42"/>
      <c r="Q139" s="42">
        <f t="shared" si="38"/>
        <v>18805.03</v>
      </c>
      <c r="R139" s="35">
        <f t="shared" si="35"/>
        <v>228.52144853566654</v>
      </c>
      <c r="S139" s="42"/>
      <c r="T139" s="42">
        <f t="shared" si="38"/>
        <v>9509.4324</v>
      </c>
      <c r="U139" s="42">
        <f t="shared" si="38"/>
        <v>10270.186991999999</v>
      </c>
      <c r="V139" s="43"/>
      <c r="W139" s="37">
        <f t="shared" si="36"/>
        <v>58.31816803154383</v>
      </c>
      <c r="X139" s="37">
        <f t="shared" si="37"/>
        <v>106.99518918216097</v>
      </c>
    </row>
    <row r="140" spans="1:24" ht="12.75">
      <c r="A140" s="39"/>
      <c r="B140" s="40"/>
      <c r="C140" s="39">
        <v>122</v>
      </c>
      <c r="D140" s="41"/>
      <c r="E140" s="39"/>
      <c r="F140" s="39"/>
      <c r="G140" s="39" t="s">
        <v>53</v>
      </c>
      <c r="H140" s="42">
        <f aca="true" t="shared" si="39" ref="H140:U140">H141+H146</f>
        <v>8442</v>
      </c>
      <c r="I140" s="42">
        <f t="shared" si="39"/>
        <v>13188</v>
      </c>
      <c r="J140" s="42">
        <f t="shared" si="39"/>
        <v>7691</v>
      </c>
      <c r="K140" s="42"/>
      <c r="L140" s="42"/>
      <c r="M140" s="42"/>
      <c r="N140" s="42">
        <f t="shared" si="39"/>
        <v>8229</v>
      </c>
      <c r="O140" s="42"/>
      <c r="P140" s="42"/>
      <c r="Q140" s="42">
        <f t="shared" si="39"/>
        <v>18805.03</v>
      </c>
      <c r="R140" s="35">
        <f t="shared" si="35"/>
        <v>228.52144853566654</v>
      </c>
      <c r="S140" s="42"/>
      <c r="T140" s="42">
        <f t="shared" si="39"/>
        <v>9509.4324</v>
      </c>
      <c r="U140" s="42">
        <f t="shared" si="39"/>
        <v>10270.186991999999</v>
      </c>
      <c r="V140" s="43"/>
      <c r="W140" s="37">
        <f t="shared" si="36"/>
        <v>58.31816803154383</v>
      </c>
      <c r="X140" s="37">
        <f t="shared" si="37"/>
        <v>106.99518918216097</v>
      </c>
    </row>
    <row r="141" spans="1:24" ht="38.25">
      <c r="A141" s="39"/>
      <c r="B141" s="40"/>
      <c r="C141" s="39"/>
      <c r="D141" s="41">
        <v>6</v>
      </c>
      <c r="E141" s="39"/>
      <c r="F141" s="39"/>
      <c r="G141" s="45" t="s">
        <v>92</v>
      </c>
      <c r="H141" s="42">
        <f>H142</f>
        <v>8442</v>
      </c>
      <c r="I141" s="42">
        <f aca="true" t="shared" si="40" ref="I141:U141">SUM(I143:I145)</f>
        <v>7188</v>
      </c>
      <c r="J141" s="42">
        <f t="shared" si="40"/>
        <v>7691</v>
      </c>
      <c r="K141" s="42">
        <f t="shared" si="40"/>
        <v>8351</v>
      </c>
      <c r="L141" s="42">
        <v>8229</v>
      </c>
      <c r="M141" s="42">
        <v>8229</v>
      </c>
      <c r="N141" s="42">
        <f t="shared" si="40"/>
        <v>8229</v>
      </c>
      <c r="O141" s="42"/>
      <c r="P141" s="42"/>
      <c r="Q141" s="42">
        <f>SUM(Q143:Q145)+10000-900</f>
        <v>17905.03</v>
      </c>
      <c r="R141" s="35">
        <f t="shared" si="35"/>
        <v>217.58451816745654</v>
      </c>
      <c r="S141" s="42"/>
      <c r="T141" s="42">
        <f t="shared" si="40"/>
        <v>9509.4324</v>
      </c>
      <c r="U141" s="42">
        <f t="shared" si="40"/>
        <v>10270.186991999999</v>
      </c>
      <c r="V141" s="43"/>
      <c r="W141" s="37">
        <f t="shared" si="36"/>
        <v>106.99777406789093</v>
      </c>
      <c r="X141" s="37">
        <f t="shared" si="37"/>
        <v>106.99518918216097</v>
      </c>
    </row>
    <row r="142" spans="1:24" ht="25.5">
      <c r="A142" s="39"/>
      <c r="B142" s="40"/>
      <c r="C142" s="39"/>
      <c r="D142" s="41"/>
      <c r="E142" s="39">
        <v>100</v>
      </c>
      <c r="F142" s="39"/>
      <c r="G142" s="39" t="s">
        <v>93</v>
      </c>
      <c r="H142" s="42">
        <f>H143+H144+H145</f>
        <v>8442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35" t="e">
        <f t="shared" si="35"/>
        <v>#DIV/0!</v>
      </c>
      <c r="S142" s="42"/>
      <c r="T142" s="47"/>
      <c r="U142" s="35"/>
      <c r="V142" s="43"/>
      <c r="W142" s="37" t="e">
        <f t="shared" si="36"/>
        <v>#DIV/0!</v>
      </c>
      <c r="X142" s="37" t="e">
        <f t="shared" si="37"/>
        <v>#DIV/0!</v>
      </c>
    </row>
    <row r="143" spans="1:24" ht="12.75">
      <c r="A143" s="39"/>
      <c r="B143" s="40"/>
      <c r="C143" s="39"/>
      <c r="D143" s="41"/>
      <c r="E143" s="39"/>
      <c r="F143" s="39">
        <v>139</v>
      </c>
      <c r="G143" s="39" t="s">
        <v>39</v>
      </c>
      <c r="H143" s="42">
        <v>2800</v>
      </c>
      <c r="I143" s="42">
        <v>1072</v>
      </c>
      <c r="J143" s="42">
        <v>4380</v>
      </c>
      <c r="K143" s="42">
        <v>4380</v>
      </c>
      <c r="L143" s="42"/>
      <c r="M143" s="42"/>
      <c r="N143" s="42">
        <v>3403</v>
      </c>
      <c r="O143" s="42"/>
      <c r="P143" s="42"/>
      <c r="Q143" s="42">
        <f>N143+(N143*0.07)</f>
        <v>3641.21</v>
      </c>
      <c r="R143" s="35">
        <f t="shared" si="35"/>
        <v>107</v>
      </c>
      <c r="S143" s="42"/>
      <c r="T143" s="42">
        <f>Q143+(Q143*0.08)</f>
        <v>3932.5068</v>
      </c>
      <c r="U143" s="42">
        <f>T143+(T143*0.08)</f>
        <v>4247.107344</v>
      </c>
      <c r="V143" s="43"/>
      <c r="W143" s="37">
        <f t="shared" si="36"/>
        <v>408.58208955223876</v>
      </c>
      <c r="X143" s="37">
        <f t="shared" si="37"/>
        <v>77.69406392694064</v>
      </c>
    </row>
    <row r="144" spans="1:24" ht="12.75">
      <c r="A144" s="39"/>
      <c r="B144" s="40"/>
      <c r="C144" s="39"/>
      <c r="D144" s="41"/>
      <c r="E144" s="39"/>
      <c r="F144" s="39">
        <v>149</v>
      </c>
      <c r="G144" s="39" t="s">
        <v>43</v>
      </c>
      <c r="H144" s="42">
        <v>3856</v>
      </c>
      <c r="I144" s="42">
        <v>6116</v>
      </c>
      <c r="J144" s="42">
        <v>3311</v>
      </c>
      <c r="K144" s="42">
        <v>3311</v>
      </c>
      <c r="L144" s="42"/>
      <c r="M144" s="42"/>
      <c r="N144" s="42">
        <v>4826</v>
      </c>
      <c r="O144" s="42"/>
      <c r="P144" s="42"/>
      <c r="Q144" s="42">
        <f>N144+(N144*0.07)</f>
        <v>5163.82</v>
      </c>
      <c r="R144" s="35">
        <f t="shared" si="35"/>
        <v>106.99999999999999</v>
      </c>
      <c r="S144" s="42"/>
      <c r="T144" s="42">
        <f>Q144+(Q144*0.08)</f>
        <v>5576.9256</v>
      </c>
      <c r="U144" s="42">
        <f>T144+(T144*0.08)</f>
        <v>6023.079648</v>
      </c>
      <c r="V144" s="43"/>
      <c r="W144" s="37">
        <f t="shared" si="36"/>
        <v>54.13669064748201</v>
      </c>
      <c r="X144" s="37">
        <f t="shared" si="37"/>
        <v>145.75656901238295</v>
      </c>
    </row>
    <row r="145" spans="1:24" ht="25.5">
      <c r="A145" s="39"/>
      <c r="B145" s="40"/>
      <c r="C145" s="39"/>
      <c r="D145" s="41"/>
      <c r="E145" s="39"/>
      <c r="F145" s="39">
        <v>411</v>
      </c>
      <c r="G145" s="39" t="s">
        <v>49</v>
      </c>
      <c r="H145" s="42">
        <v>1786</v>
      </c>
      <c r="I145" s="42"/>
      <c r="J145" s="42">
        <f>I145+(I145*0.075)</f>
        <v>0</v>
      </c>
      <c r="K145" s="42">
        <v>660</v>
      </c>
      <c r="L145" s="42"/>
      <c r="M145" s="42"/>
      <c r="N145" s="42">
        <f>J145+(J145*0.07)</f>
        <v>0</v>
      </c>
      <c r="O145" s="42"/>
      <c r="P145" s="42"/>
      <c r="Q145" s="42"/>
      <c r="R145" s="35" t="e">
        <f t="shared" si="35"/>
        <v>#DIV/0!</v>
      </c>
      <c r="S145" s="42"/>
      <c r="T145" s="47"/>
      <c r="U145" s="35"/>
      <c r="V145" s="43"/>
      <c r="W145" s="37"/>
      <c r="X145" s="37"/>
    </row>
    <row r="146" spans="1:24" ht="63.75">
      <c r="A146" s="39"/>
      <c r="B146" s="40"/>
      <c r="C146" s="39"/>
      <c r="D146" s="41">
        <v>7</v>
      </c>
      <c r="E146" s="39"/>
      <c r="F146" s="39"/>
      <c r="G146" s="45" t="s">
        <v>94</v>
      </c>
      <c r="H146" s="42"/>
      <c r="I146" s="42">
        <f>I147</f>
        <v>6000</v>
      </c>
      <c r="J146" s="42">
        <f>J147</f>
        <v>0</v>
      </c>
      <c r="K146" s="42">
        <f>K147</f>
        <v>340</v>
      </c>
      <c r="L146" s="42"/>
      <c r="M146" s="42"/>
      <c r="N146" s="42">
        <f>N147</f>
        <v>0</v>
      </c>
      <c r="O146" s="42"/>
      <c r="P146" s="42"/>
      <c r="Q146" s="42">
        <v>900</v>
      </c>
      <c r="R146" s="35" t="e">
        <f t="shared" si="35"/>
        <v>#DIV/0!</v>
      </c>
      <c r="S146" s="42"/>
      <c r="T146" s="47"/>
      <c r="U146" s="35"/>
      <c r="V146" s="43"/>
      <c r="W146" s="37"/>
      <c r="X146" s="37"/>
    </row>
    <row r="147" spans="1:24" ht="12.75">
      <c r="A147" s="39"/>
      <c r="B147" s="40"/>
      <c r="C147" s="39"/>
      <c r="D147" s="41"/>
      <c r="E147" s="39"/>
      <c r="F147" s="39">
        <v>139</v>
      </c>
      <c r="G147" s="39" t="s">
        <v>39</v>
      </c>
      <c r="H147" s="42"/>
      <c r="I147" s="42">
        <v>6000</v>
      </c>
      <c r="J147" s="42"/>
      <c r="K147" s="42">
        <v>340</v>
      </c>
      <c r="L147" s="42"/>
      <c r="M147" s="42"/>
      <c r="N147" s="42"/>
      <c r="O147" s="42"/>
      <c r="P147" s="42"/>
      <c r="Q147" s="42"/>
      <c r="R147" s="35" t="e">
        <f t="shared" si="35"/>
        <v>#DIV/0!</v>
      </c>
      <c r="S147" s="42"/>
      <c r="T147" s="47"/>
      <c r="U147" s="35"/>
      <c r="V147" s="43"/>
      <c r="W147" s="37"/>
      <c r="X147" s="37"/>
    </row>
    <row r="148" spans="1:24" ht="38.25">
      <c r="A148" s="39">
        <v>3</v>
      </c>
      <c r="B148" s="40"/>
      <c r="C148" s="39"/>
      <c r="D148" s="41"/>
      <c r="E148" s="39"/>
      <c r="F148" s="39"/>
      <c r="G148" s="45" t="s">
        <v>95</v>
      </c>
      <c r="H148" s="42">
        <f>H149</f>
        <v>33838</v>
      </c>
      <c r="I148" s="42">
        <f>I149</f>
        <v>36545.04</v>
      </c>
      <c r="J148" s="42">
        <f>J149</f>
        <v>39103.192800000004</v>
      </c>
      <c r="K148" s="42"/>
      <c r="L148" s="42"/>
      <c r="M148" s="42"/>
      <c r="N148" s="42">
        <f>N149</f>
        <v>51840.416296</v>
      </c>
      <c r="O148" s="42"/>
      <c r="P148" s="42"/>
      <c r="Q148" s="42">
        <f>Q149</f>
        <v>127469.24543672</v>
      </c>
      <c r="R148" s="35">
        <f t="shared" si="35"/>
        <v>245.88777356434056</v>
      </c>
      <c r="S148" s="42"/>
      <c r="T148" s="42">
        <f>T149</f>
        <v>130015.7850716576</v>
      </c>
      <c r="U148" s="42">
        <f>U149</f>
        <v>184278.32787739023</v>
      </c>
      <c r="V148" s="43"/>
      <c r="W148" s="37">
        <f aca="true" t="shared" si="41" ref="W148:W159">J148/I148*100</f>
        <v>107</v>
      </c>
      <c r="X148" s="37">
        <f aca="true" t="shared" si="42" ref="X148:X159">N148/J148*100</f>
        <v>132.5733593191398</v>
      </c>
    </row>
    <row r="149" spans="1:24" ht="25.5">
      <c r="A149" s="39"/>
      <c r="B149" s="40" t="s">
        <v>28</v>
      </c>
      <c r="C149" s="39"/>
      <c r="D149" s="41"/>
      <c r="E149" s="39"/>
      <c r="F149" s="39"/>
      <c r="G149" s="39" t="s">
        <v>96</v>
      </c>
      <c r="H149" s="42">
        <f>H150</f>
        <v>33838</v>
      </c>
      <c r="I149" s="42">
        <f>I150</f>
        <v>36545.04</v>
      </c>
      <c r="J149" s="42">
        <f>J150</f>
        <v>39103.192800000004</v>
      </c>
      <c r="K149" s="42"/>
      <c r="L149" s="42"/>
      <c r="M149" s="42"/>
      <c r="N149" s="42">
        <f>N150</f>
        <v>51840.416296</v>
      </c>
      <c r="O149" s="42"/>
      <c r="P149" s="42"/>
      <c r="Q149" s="42">
        <f>Q150</f>
        <v>127469.24543672</v>
      </c>
      <c r="R149" s="35">
        <f t="shared" si="35"/>
        <v>245.88777356434056</v>
      </c>
      <c r="S149" s="42"/>
      <c r="T149" s="42">
        <f>T150</f>
        <v>130015.7850716576</v>
      </c>
      <c r="U149" s="42">
        <f>U150</f>
        <v>184278.32787739023</v>
      </c>
      <c r="V149" s="43"/>
      <c r="W149" s="37">
        <f t="shared" si="41"/>
        <v>107</v>
      </c>
      <c r="X149" s="37">
        <f t="shared" si="42"/>
        <v>132.5733593191398</v>
      </c>
    </row>
    <row r="150" spans="1:24" ht="38.25">
      <c r="A150" s="39"/>
      <c r="B150" s="40"/>
      <c r="C150" s="39">
        <v>458</v>
      </c>
      <c r="D150" s="41"/>
      <c r="E150" s="39"/>
      <c r="F150" s="39"/>
      <c r="G150" s="39" t="s">
        <v>97</v>
      </c>
      <c r="H150" s="42">
        <f>H151</f>
        <v>33838</v>
      </c>
      <c r="I150" s="42">
        <f>I151</f>
        <v>36545.04</v>
      </c>
      <c r="J150" s="42">
        <f>J151</f>
        <v>39103.192800000004</v>
      </c>
      <c r="K150" s="42"/>
      <c r="L150" s="42"/>
      <c r="M150" s="42"/>
      <c r="N150" s="42">
        <f>N151</f>
        <v>51840.416296</v>
      </c>
      <c r="O150" s="42"/>
      <c r="P150" s="42"/>
      <c r="Q150" s="42">
        <f>Q151</f>
        <v>127469.24543672</v>
      </c>
      <c r="R150" s="35">
        <f t="shared" si="35"/>
        <v>245.88777356434056</v>
      </c>
      <c r="S150" s="42"/>
      <c r="T150" s="42">
        <f>T151</f>
        <v>130015.7850716576</v>
      </c>
      <c r="U150" s="42">
        <f>U151</f>
        <v>184278.32787739023</v>
      </c>
      <c r="V150" s="43"/>
      <c r="W150" s="37">
        <f t="shared" si="41"/>
        <v>107</v>
      </c>
      <c r="X150" s="37">
        <f t="shared" si="42"/>
        <v>132.5733593191398</v>
      </c>
    </row>
    <row r="151" spans="1:24" ht="25.5">
      <c r="A151" s="39"/>
      <c r="B151" s="40"/>
      <c r="C151" s="39"/>
      <c r="D151" s="41">
        <v>21</v>
      </c>
      <c r="E151" s="39" t="s">
        <v>67</v>
      </c>
      <c r="F151" s="39"/>
      <c r="G151" s="45" t="s">
        <v>98</v>
      </c>
      <c r="H151" s="42">
        <f>H152</f>
        <v>33838</v>
      </c>
      <c r="I151" s="42">
        <f>I152</f>
        <v>36545.04</v>
      </c>
      <c r="J151" s="42">
        <f>J152</f>
        <v>39103.192800000004</v>
      </c>
      <c r="K151" s="42"/>
      <c r="L151" s="42">
        <v>41840</v>
      </c>
      <c r="M151" s="42">
        <v>41840</v>
      </c>
      <c r="N151" s="42">
        <f>N152</f>
        <v>51840.416296</v>
      </c>
      <c r="O151" s="42"/>
      <c r="P151" s="42"/>
      <c r="Q151" s="42">
        <f>Q152+38000+34000</f>
        <v>127469.24543672</v>
      </c>
      <c r="R151" s="35">
        <f t="shared" si="35"/>
        <v>245.88777356434056</v>
      </c>
      <c r="S151" s="42"/>
      <c r="T151" s="42">
        <f>T152+35093+35016</f>
        <v>130015.7850716576</v>
      </c>
      <c r="U151" s="42">
        <f>U152+35795+33784+50000</f>
        <v>184278.32787739023</v>
      </c>
      <c r="V151" s="43"/>
      <c r="W151" s="37">
        <f t="shared" si="41"/>
        <v>107</v>
      </c>
      <c r="X151" s="37">
        <f t="shared" si="42"/>
        <v>132.5733593191398</v>
      </c>
    </row>
    <row r="152" spans="1:24" ht="12.75">
      <c r="A152" s="39"/>
      <c r="B152" s="40"/>
      <c r="C152" s="39"/>
      <c r="D152" s="41"/>
      <c r="E152" s="39"/>
      <c r="F152" s="39">
        <v>149</v>
      </c>
      <c r="G152" s="39" t="s">
        <v>43</v>
      </c>
      <c r="H152" s="42">
        <v>33838</v>
      </c>
      <c r="I152" s="42">
        <f>H152+(H152*0.08)</f>
        <v>36545.04</v>
      </c>
      <c r="J152" s="42">
        <f>I152+(I152*0.07)</f>
        <v>39103.192800000004</v>
      </c>
      <c r="K152" s="42"/>
      <c r="L152" s="42"/>
      <c r="M152" s="42"/>
      <c r="N152" s="42">
        <f>J152+(J152*0.07)+10000</f>
        <v>51840.416296</v>
      </c>
      <c r="O152" s="42"/>
      <c r="P152" s="42"/>
      <c r="Q152" s="42">
        <f>N152*1.07</f>
        <v>55469.245436720004</v>
      </c>
      <c r="R152" s="35">
        <f t="shared" si="35"/>
        <v>107</v>
      </c>
      <c r="S152" s="42"/>
      <c r="T152" s="42">
        <f>Q152*1.08</f>
        <v>59906.78507165761</v>
      </c>
      <c r="U152" s="42">
        <f>T152*1.08</f>
        <v>64699.32787739022</v>
      </c>
      <c r="V152" s="43"/>
      <c r="W152" s="37">
        <f t="shared" si="41"/>
        <v>107</v>
      </c>
      <c r="X152" s="37">
        <f t="shared" si="42"/>
        <v>132.5733593191398</v>
      </c>
    </row>
    <row r="153" spans="1:24" ht="12.75">
      <c r="A153" s="39">
        <v>4</v>
      </c>
      <c r="B153" s="40"/>
      <c r="C153" s="39"/>
      <c r="D153" s="41"/>
      <c r="E153" s="39"/>
      <c r="F153" s="39"/>
      <c r="G153" s="45" t="s">
        <v>99</v>
      </c>
      <c r="H153" s="42" t="e">
        <f aca="true" t="shared" si="43" ref="H153:U153">H154+H190+H257</f>
        <v>#REF!</v>
      </c>
      <c r="I153" s="42">
        <f t="shared" si="43"/>
        <v>4566707.999</v>
      </c>
      <c r="J153" s="42">
        <f t="shared" si="43"/>
        <v>6043059.8508</v>
      </c>
      <c r="K153" s="42"/>
      <c r="L153" s="42"/>
      <c r="M153" s="42"/>
      <c r="N153" s="42">
        <f t="shared" si="43"/>
        <v>6804189.3719999995</v>
      </c>
      <c r="O153" s="42"/>
      <c r="P153" s="42"/>
      <c r="Q153" s="42">
        <f t="shared" si="43"/>
        <v>7797511.1060999995</v>
      </c>
      <c r="R153" s="35">
        <f t="shared" si="35"/>
        <v>114.5986785463031</v>
      </c>
      <c r="S153" s="42"/>
      <c r="T153" s="42">
        <f t="shared" si="43"/>
        <v>8620799.362958</v>
      </c>
      <c r="U153" s="42">
        <f t="shared" si="43"/>
        <v>9303034.062530838</v>
      </c>
      <c r="V153" s="43"/>
      <c r="W153" s="37">
        <f t="shared" si="41"/>
        <v>132.3285800651867</v>
      </c>
      <c r="X153" s="37">
        <f t="shared" si="42"/>
        <v>112.59510148818464</v>
      </c>
    </row>
    <row r="154" spans="1:24" ht="25.5">
      <c r="A154" s="39"/>
      <c r="B154" s="40" t="s">
        <v>28</v>
      </c>
      <c r="C154" s="39"/>
      <c r="D154" s="41"/>
      <c r="E154" s="39"/>
      <c r="F154" s="39"/>
      <c r="G154" s="39" t="s">
        <v>100</v>
      </c>
      <c r="H154" s="42">
        <f>H155</f>
        <v>782039</v>
      </c>
      <c r="I154" s="42">
        <f>I155</f>
        <v>1020968.59</v>
      </c>
      <c r="J154" s="42">
        <f>J155</f>
        <v>1352826.4880000001</v>
      </c>
      <c r="K154" s="42"/>
      <c r="L154" s="42"/>
      <c r="M154" s="42"/>
      <c r="N154" s="42">
        <f>N155</f>
        <v>1475544.636</v>
      </c>
      <c r="O154" s="42"/>
      <c r="P154" s="42"/>
      <c r="Q154" s="42">
        <f>Q155</f>
        <v>1875435.803</v>
      </c>
      <c r="R154" s="35">
        <f t="shared" si="35"/>
        <v>127.10125856199448</v>
      </c>
      <c r="S154" s="42"/>
      <c r="T154" s="42">
        <f>T155</f>
        <v>2103239.5629999996</v>
      </c>
      <c r="U154" s="42">
        <f>U155</f>
        <v>2186691.64012</v>
      </c>
      <c r="V154" s="43"/>
      <c r="W154" s="37">
        <f t="shared" si="41"/>
        <v>132.50422209364933</v>
      </c>
      <c r="X154" s="37">
        <f t="shared" si="42"/>
        <v>109.07124077540975</v>
      </c>
    </row>
    <row r="155" spans="1:24" ht="25.5">
      <c r="A155" s="39"/>
      <c r="B155" s="40"/>
      <c r="C155" s="39">
        <v>464</v>
      </c>
      <c r="D155" s="41"/>
      <c r="E155" s="39"/>
      <c r="F155" s="39"/>
      <c r="G155" s="39" t="s">
        <v>101</v>
      </c>
      <c r="H155" s="42">
        <f>H156</f>
        <v>782039</v>
      </c>
      <c r="I155" s="42">
        <f>I156</f>
        <v>1020968.59</v>
      </c>
      <c r="J155" s="42">
        <f>J156</f>
        <v>1352826.4880000001</v>
      </c>
      <c r="K155" s="42"/>
      <c r="L155" s="42"/>
      <c r="M155" s="42"/>
      <c r="N155" s="42">
        <f>N156+N185</f>
        <v>1475544.636</v>
      </c>
      <c r="O155" s="42">
        <f>O156+O185</f>
        <v>0</v>
      </c>
      <c r="P155" s="42"/>
      <c r="Q155" s="42">
        <f>Q156+Q185+Q184</f>
        <v>1875435.803</v>
      </c>
      <c r="R155" s="42" t="e">
        <f>R156+R185+R184</f>
        <v>#DIV/0!</v>
      </c>
      <c r="S155" s="42">
        <f>S156+S185+S184</f>
        <v>0</v>
      </c>
      <c r="T155" s="42">
        <f>T156+T185+T184</f>
        <v>2103239.5629999996</v>
      </c>
      <c r="U155" s="42">
        <f>U156+U185+U184</f>
        <v>2186691.64012</v>
      </c>
      <c r="V155" s="43"/>
      <c r="W155" s="37">
        <f t="shared" si="41"/>
        <v>132.50422209364933</v>
      </c>
      <c r="X155" s="37">
        <f t="shared" si="42"/>
        <v>109.07124077540975</v>
      </c>
    </row>
    <row r="156" spans="1:24" ht="38.25">
      <c r="A156" s="39"/>
      <c r="B156" s="40"/>
      <c r="C156" s="39"/>
      <c r="D156" s="41">
        <v>9</v>
      </c>
      <c r="E156" s="39" t="s">
        <v>67</v>
      </c>
      <c r="F156" s="39"/>
      <c r="G156" s="45" t="s">
        <v>102</v>
      </c>
      <c r="H156" s="42">
        <f>H159</f>
        <v>782039</v>
      </c>
      <c r="I156" s="42">
        <f>I159</f>
        <v>1020968.59</v>
      </c>
      <c r="J156" s="42">
        <f>J159</f>
        <v>1352826.4880000001</v>
      </c>
      <c r="K156" s="42">
        <f>K159+K181+K182</f>
        <v>1398348</v>
      </c>
      <c r="L156" s="42">
        <v>1538933</v>
      </c>
      <c r="M156" s="42">
        <v>1498734</v>
      </c>
      <c r="N156" s="42">
        <f>N159</f>
        <v>1475544.636</v>
      </c>
      <c r="O156" s="42"/>
      <c r="P156" s="42"/>
      <c r="Q156" s="42">
        <f>Q159+5000+15762-48954</f>
        <v>1525068.803</v>
      </c>
      <c r="R156" s="35">
        <f t="shared" si="35"/>
        <v>103.35633133635682</v>
      </c>
      <c r="S156" s="42"/>
      <c r="T156" s="42">
        <f>T159+15643</f>
        <v>2103239.5629999996</v>
      </c>
      <c r="U156" s="42">
        <f>U159+15643</f>
        <v>2186691.64012</v>
      </c>
      <c r="V156" s="48" t="s">
        <v>103</v>
      </c>
      <c r="W156" s="37">
        <f t="shared" si="41"/>
        <v>132.50422209364933</v>
      </c>
      <c r="X156" s="37">
        <f t="shared" si="42"/>
        <v>109.07124077540975</v>
      </c>
    </row>
    <row r="157" spans="1:24" ht="25.5">
      <c r="A157" s="39"/>
      <c r="B157" s="40"/>
      <c r="C157" s="39"/>
      <c r="D157" s="41"/>
      <c r="E157" s="39" t="s">
        <v>104</v>
      </c>
      <c r="F157" s="39"/>
      <c r="G157" s="45" t="s">
        <v>105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35"/>
      <c r="S157" s="42"/>
      <c r="T157" s="42"/>
      <c r="U157" s="42"/>
      <c r="V157" s="48"/>
      <c r="W157" s="37"/>
      <c r="X157" s="37"/>
    </row>
    <row r="158" spans="1:24" ht="12.75">
      <c r="A158" s="39"/>
      <c r="B158" s="40"/>
      <c r="C158" s="39"/>
      <c r="D158" s="41"/>
      <c r="E158" s="39" t="s">
        <v>106</v>
      </c>
      <c r="F158" s="39"/>
      <c r="G158" s="45" t="s">
        <v>107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35"/>
      <c r="S158" s="42"/>
      <c r="T158" s="42"/>
      <c r="U158" s="42"/>
      <c r="V158" s="48"/>
      <c r="W158" s="37"/>
      <c r="X158" s="37"/>
    </row>
    <row r="159" spans="1:24" ht="12.75">
      <c r="A159" s="39"/>
      <c r="B159" s="40"/>
      <c r="C159" s="39"/>
      <c r="D159" s="41"/>
      <c r="E159" s="39"/>
      <c r="F159" s="39">
        <v>149</v>
      </c>
      <c r="G159" s="39" t="s">
        <v>43</v>
      </c>
      <c r="H159" s="42">
        <f aca="true" t="shared" si="44" ref="H159:N159">H161+H162+H163+H164+H166+H167+H168+H169+H174+H176+H177+H179+H180+H181+H182+H183</f>
        <v>782039</v>
      </c>
      <c r="I159" s="42">
        <f t="shared" si="44"/>
        <v>1020968.59</v>
      </c>
      <c r="J159" s="42">
        <f t="shared" si="44"/>
        <v>1352826.4880000001</v>
      </c>
      <c r="K159" s="42">
        <v>1394788</v>
      </c>
      <c r="L159" s="42"/>
      <c r="M159" s="42"/>
      <c r="N159" s="42">
        <f t="shared" si="44"/>
        <v>1475544.636</v>
      </c>
      <c r="O159" s="42"/>
      <c r="P159" s="42"/>
      <c r="Q159" s="42">
        <f>Q161+Q162+Q163+Q164+Q166+Q167+Q168+Q169+Q174+Q176+Q177+Q179+Q180+Q181+Q182+Q183</f>
        <v>1553260.803</v>
      </c>
      <c r="R159" s="35">
        <f t="shared" si="35"/>
        <v>105.2669478851333</v>
      </c>
      <c r="S159" s="42"/>
      <c r="T159" s="42">
        <f>T161+T162+T163+T164+T166+T167+T168+T169+T174+T176+T177+T179+T180+T181+T182+T183</f>
        <v>2087596.5629999996</v>
      </c>
      <c r="U159" s="42">
        <f>U161+U162+U163+U164+U166+U167+U168+U169+U174+U176+U177+U179+U180+U181+U182+U183</f>
        <v>2171048.64012</v>
      </c>
      <c r="V159" s="43"/>
      <c r="W159" s="37">
        <f t="shared" si="41"/>
        <v>132.50422209364933</v>
      </c>
      <c r="X159" s="37">
        <f t="shared" si="42"/>
        <v>109.07124077540975</v>
      </c>
    </row>
    <row r="160" spans="1:24" ht="12.75">
      <c r="A160" s="39"/>
      <c r="B160" s="40"/>
      <c r="C160" s="39"/>
      <c r="D160" s="41"/>
      <c r="E160" s="39"/>
      <c r="F160" s="39"/>
      <c r="G160" s="39" t="s">
        <v>108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35" t="e">
        <f t="shared" si="35"/>
        <v>#DIV/0!</v>
      </c>
      <c r="S160" s="42"/>
      <c r="T160" s="47"/>
      <c r="U160" s="35"/>
      <c r="V160" s="43"/>
      <c r="W160" s="37"/>
      <c r="X160" s="37"/>
    </row>
    <row r="161" spans="1:24" ht="25.5">
      <c r="A161" s="39"/>
      <c r="B161" s="40"/>
      <c r="C161" s="39"/>
      <c r="D161" s="41"/>
      <c r="E161" s="39"/>
      <c r="F161" s="39">
        <v>111</v>
      </c>
      <c r="G161" s="39" t="s">
        <v>33</v>
      </c>
      <c r="H161" s="42">
        <v>548796</v>
      </c>
      <c r="I161" s="42">
        <v>720210</v>
      </c>
      <c r="J161" s="42">
        <v>976712</v>
      </c>
      <c r="K161" s="42"/>
      <c r="L161" s="42"/>
      <c r="M161" s="42"/>
      <c r="N161" s="47">
        <v>1118764</v>
      </c>
      <c r="O161" s="47"/>
      <c r="P161" s="47"/>
      <c r="Q161" s="47">
        <f>1118764+35980+7123+4080</f>
        <v>1165947</v>
      </c>
      <c r="R161" s="35">
        <f t="shared" si="35"/>
        <v>104.2174220836566</v>
      </c>
      <c r="S161" s="47"/>
      <c r="T161" s="47">
        <f>1118764+47183+2718+40943+40943</f>
        <v>1250551</v>
      </c>
      <c r="U161" s="47">
        <f>1118764+47183+84604+48084</f>
        <v>1298635</v>
      </c>
      <c r="V161" s="48" t="s">
        <v>109</v>
      </c>
      <c r="W161" s="37">
        <f aca="true" t="shared" si="45" ref="W161:W169">J161/I161*100</f>
        <v>135.61489010149816</v>
      </c>
      <c r="X161" s="37">
        <f aca="true" t="shared" si="46" ref="X161:X175">N161/J161*100</f>
        <v>114.5438983036965</v>
      </c>
    </row>
    <row r="162" spans="1:24" ht="12.75">
      <c r="A162" s="39"/>
      <c r="B162" s="40"/>
      <c r="C162" s="39"/>
      <c r="D162" s="41"/>
      <c r="E162" s="39"/>
      <c r="F162" s="39">
        <v>113</v>
      </c>
      <c r="G162" s="39" t="s">
        <v>35</v>
      </c>
      <c r="H162" s="42">
        <v>33043</v>
      </c>
      <c r="I162" s="42">
        <v>45022</v>
      </c>
      <c r="J162" s="42">
        <v>60666</v>
      </c>
      <c r="K162" s="42"/>
      <c r="L162" s="42"/>
      <c r="M162" s="42"/>
      <c r="N162" s="47">
        <v>62408</v>
      </c>
      <c r="O162" s="47"/>
      <c r="P162" s="47"/>
      <c r="Q162" s="47">
        <f>62408+2240+594+356</f>
        <v>65598</v>
      </c>
      <c r="R162" s="35">
        <f t="shared" si="35"/>
        <v>105.11152416356877</v>
      </c>
      <c r="S162" s="47"/>
      <c r="T162" s="47">
        <f>62408+3190+200+2548+2548</f>
        <v>70894</v>
      </c>
      <c r="U162" s="47">
        <f>62408+3190+5296+2764</f>
        <v>73658</v>
      </c>
      <c r="V162" s="56"/>
      <c r="W162" s="37">
        <f t="shared" si="45"/>
        <v>134.74745679889833</v>
      </c>
      <c r="X162" s="37">
        <f t="shared" si="46"/>
        <v>102.87146012593544</v>
      </c>
    </row>
    <row r="163" spans="1:24" ht="12.75">
      <c r="A163" s="39"/>
      <c r="B163" s="40"/>
      <c r="C163" s="39"/>
      <c r="D163" s="41"/>
      <c r="E163" s="39"/>
      <c r="F163" s="39">
        <v>121</v>
      </c>
      <c r="G163" s="39" t="s">
        <v>36</v>
      </c>
      <c r="H163" s="42">
        <v>34905</v>
      </c>
      <c r="I163" s="42">
        <f>(I161-(I161*0.1))*0.06</f>
        <v>38891.34</v>
      </c>
      <c r="J163" s="42">
        <f>(J161-(J161*0.1))*0.06</f>
        <v>52742.448000000004</v>
      </c>
      <c r="K163" s="42"/>
      <c r="L163" s="42"/>
      <c r="M163" s="42"/>
      <c r="N163" s="42">
        <f>(N161-(N161*0.1))*0.06</f>
        <v>60413.255999999994</v>
      </c>
      <c r="O163" s="42"/>
      <c r="P163" s="42"/>
      <c r="Q163" s="42">
        <f>(Q161-(Q161*0.1))*0.06</f>
        <v>62961.138</v>
      </c>
      <c r="R163" s="35">
        <f t="shared" si="35"/>
        <v>104.2174220836566</v>
      </c>
      <c r="S163" s="42"/>
      <c r="T163" s="42">
        <f>(T161-(T161*0.1))*0.06</f>
        <v>67529.75399999999</v>
      </c>
      <c r="U163" s="42">
        <f>(U161-(U161*0.1))*0.06</f>
        <v>70126.29</v>
      </c>
      <c r="V163" s="43"/>
      <c r="W163" s="37">
        <f t="shared" si="45"/>
        <v>135.6148901014982</v>
      </c>
      <c r="X163" s="37">
        <f t="shared" si="46"/>
        <v>114.54389830369647</v>
      </c>
    </row>
    <row r="164" spans="1:24" ht="25.5">
      <c r="A164" s="39"/>
      <c r="B164" s="40"/>
      <c r="C164" s="39"/>
      <c r="D164" s="41"/>
      <c r="E164" s="39"/>
      <c r="F164" s="39">
        <v>122</v>
      </c>
      <c r="G164" s="39" t="s">
        <v>37</v>
      </c>
      <c r="H164" s="42">
        <v>19946</v>
      </c>
      <c r="I164" s="42">
        <f>(I161-(I161*0.1))*0.05</f>
        <v>32409.45</v>
      </c>
      <c r="J164" s="42">
        <f>(J161-(J161*0.1))*0.05</f>
        <v>43952.04000000001</v>
      </c>
      <c r="K164" s="42"/>
      <c r="L164" s="42"/>
      <c r="M164" s="42"/>
      <c r="N164" s="42">
        <f>(N161-(N161*0.1))*0.05</f>
        <v>50344.380000000005</v>
      </c>
      <c r="O164" s="42"/>
      <c r="P164" s="42"/>
      <c r="Q164" s="42">
        <f>(Q161-(Q161*0.1))*0.05</f>
        <v>52467.615000000005</v>
      </c>
      <c r="R164" s="35">
        <f t="shared" si="35"/>
        <v>104.2174220836566</v>
      </c>
      <c r="S164" s="42"/>
      <c r="T164" s="42">
        <f>(T161-(T161*0.1))*0.05</f>
        <v>56274.795</v>
      </c>
      <c r="U164" s="42">
        <f>(U161-(U161*0.1))*0.05</f>
        <v>58438.575000000004</v>
      </c>
      <c r="V164" s="43"/>
      <c r="W164" s="37">
        <f t="shared" si="45"/>
        <v>135.6148901014982</v>
      </c>
      <c r="X164" s="37">
        <f t="shared" si="46"/>
        <v>114.54389830369647</v>
      </c>
    </row>
    <row r="165" spans="1:24" ht="38.25">
      <c r="A165" s="39"/>
      <c r="B165" s="40"/>
      <c r="C165" s="39"/>
      <c r="D165" s="41"/>
      <c r="E165" s="39"/>
      <c r="F165" s="39">
        <v>125</v>
      </c>
      <c r="G165" s="39" t="s">
        <v>38</v>
      </c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35" t="e">
        <f t="shared" si="35"/>
        <v>#DIV/0!</v>
      </c>
      <c r="S165" s="42"/>
      <c r="T165" s="47"/>
      <c r="U165" s="35"/>
      <c r="V165" s="43"/>
      <c r="W165" s="37" t="e">
        <f t="shared" si="45"/>
        <v>#DIV/0!</v>
      </c>
      <c r="X165" s="37" t="e">
        <f t="shared" si="46"/>
        <v>#DIV/0!</v>
      </c>
    </row>
    <row r="166" spans="1:24" ht="12.75">
      <c r="A166" s="39"/>
      <c r="B166" s="40"/>
      <c r="C166" s="39"/>
      <c r="D166" s="41"/>
      <c r="E166" s="39"/>
      <c r="F166" s="39">
        <v>131</v>
      </c>
      <c r="G166" s="39" t="s">
        <v>110</v>
      </c>
      <c r="H166" s="42">
        <v>12035</v>
      </c>
      <c r="I166" s="42">
        <f>H166+(H166*0.08)</f>
        <v>12997.8</v>
      </c>
      <c r="J166" s="42">
        <v>13908</v>
      </c>
      <c r="K166" s="42"/>
      <c r="L166" s="42"/>
      <c r="M166" s="42"/>
      <c r="N166" s="42">
        <v>16178</v>
      </c>
      <c r="O166" s="42"/>
      <c r="P166" s="42"/>
      <c r="Q166" s="42">
        <f>N166+(N166*0.07)</f>
        <v>17310.46</v>
      </c>
      <c r="R166" s="35">
        <f t="shared" si="35"/>
        <v>106.99999999999999</v>
      </c>
      <c r="S166" s="42"/>
      <c r="T166" s="47">
        <f>Q166*1.08+1541</f>
        <v>20236.2968</v>
      </c>
      <c r="U166" s="47">
        <f>T166*1.08</f>
        <v>21855.200544000003</v>
      </c>
      <c r="V166" s="43"/>
      <c r="W166" s="37">
        <f t="shared" si="45"/>
        <v>107.0027235378295</v>
      </c>
      <c r="X166" s="37">
        <f t="shared" si="46"/>
        <v>116.32154155881507</v>
      </c>
    </row>
    <row r="167" spans="1:24" ht="25.5">
      <c r="A167" s="39"/>
      <c r="B167" s="40"/>
      <c r="C167" s="39"/>
      <c r="D167" s="41"/>
      <c r="E167" s="39"/>
      <c r="F167" s="39">
        <v>132</v>
      </c>
      <c r="G167" s="39" t="s">
        <v>89</v>
      </c>
      <c r="H167" s="42">
        <v>1561</v>
      </c>
      <c r="I167" s="42">
        <v>6739</v>
      </c>
      <c r="J167" s="42">
        <v>8628</v>
      </c>
      <c r="K167" s="42"/>
      <c r="L167" s="42"/>
      <c r="M167" s="42"/>
      <c r="N167" s="42">
        <v>3628</v>
      </c>
      <c r="O167" s="42"/>
      <c r="P167" s="42"/>
      <c r="Q167" s="42">
        <f>N167+(N167*0.07)+432</f>
        <v>4313.96</v>
      </c>
      <c r="R167" s="35">
        <f t="shared" si="35"/>
        <v>118.90738699007717</v>
      </c>
      <c r="S167" s="42"/>
      <c r="T167" s="47">
        <f>Q167*1.08+462+462</f>
        <v>5583.076800000001</v>
      </c>
      <c r="U167" s="47">
        <f>T167*1.08+277</f>
        <v>6306.722944000001</v>
      </c>
      <c r="V167" s="43"/>
      <c r="W167" s="37">
        <f t="shared" si="45"/>
        <v>128.03086511351833</v>
      </c>
      <c r="X167" s="37">
        <f t="shared" si="46"/>
        <v>42.04914232730644</v>
      </c>
    </row>
    <row r="168" spans="1:24" ht="12.75">
      <c r="A168" s="39"/>
      <c r="B168" s="40"/>
      <c r="C168" s="39"/>
      <c r="D168" s="41"/>
      <c r="E168" s="39"/>
      <c r="F168" s="39">
        <v>139</v>
      </c>
      <c r="G168" s="39" t="s">
        <v>39</v>
      </c>
      <c r="H168" s="42">
        <v>29458</v>
      </c>
      <c r="I168" s="42">
        <v>31211</v>
      </c>
      <c r="J168" s="42">
        <v>28458</v>
      </c>
      <c r="K168" s="42"/>
      <c r="L168" s="42"/>
      <c r="M168" s="42"/>
      <c r="N168" s="42">
        <v>13633</v>
      </c>
      <c r="O168" s="42"/>
      <c r="P168" s="42"/>
      <c r="Q168" s="42">
        <f>N168+(N168*0.07)+1400+1086+575</f>
        <v>17648.309999999998</v>
      </c>
      <c r="R168" s="35">
        <f t="shared" si="35"/>
        <v>129.4528717083547</v>
      </c>
      <c r="S168" s="42"/>
      <c r="T168" s="47">
        <f>Q168*1.08+486+1926+1926</f>
        <v>23398.174799999997</v>
      </c>
      <c r="U168" s="47">
        <f>T168*1.08+1796</f>
        <v>27066.028784</v>
      </c>
      <c r="V168" s="43"/>
      <c r="W168" s="37">
        <f t="shared" si="45"/>
        <v>91.17939188106757</v>
      </c>
      <c r="X168" s="37">
        <f t="shared" si="46"/>
        <v>47.90568557171972</v>
      </c>
    </row>
    <row r="169" spans="1:24" ht="12.75">
      <c r="A169" s="39"/>
      <c r="B169" s="40"/>
      <c r="C169" s="39"/>
      <c r="D169" s="41"/>
      <c r="E169" s="39"/>
      <c r="F169" s="39">
        <v>141</v>
      </c>
      <c r="G169" s="39" t="s">
        <v>60</v>
      </c>
      <c r="H169" s="42">
        <v>49212</v>
      </c>
      <c r="I169" s="42">
        <v>71867</v>
      </c>
      <c r="J169" s="42">
        <v>85767</v>
      </c>
      <c r="K169" s="42"/>
      <c r="L169" s="42"/>
      <c r="M169" s="42"/>
      <c r="N169" s="42">
        <f>N171+N172+N173</f>
        <v>86982</v>
      </c>
      <c r="O169" s="42"/>
      <c r="P169" s="42"/>
      <c r="Q169" s="42">
        <f>N169+(N169*0.07)+3800</f>
        <v>96870.74</v>
      </c>
      <c r="R169" s="35">
        <f t="shared" si="35"/>
        <v>111.36871996505025</v>
      </c>
      <c r="S169" s="42"/>
      <c r="T169" s="47">
        <f>Q169*1.08+4494+4494</f>
        <v>113608.39920000001</v>
      </c>
      <c r="U169" s="47">
        <f>T169*1.08+4662</f>
        <v>127359.07113600003</v>
      </c>
      <c r="V169" s="43"/>
      <c r="W169" s="37">
        <f t="shared" si="45"/>
        <v>119.34128320369572</v>
      </c>
      <c r="X169" s="37">
        <f t="shared" si="46"/>
        <v>101.41662877330442</v>
      </c>
    </row>
    <row r="170" spans="1:24" ht="12.75">
      <c r="A170" s="39"/>
      <c r="B170" s="40"/>
      <c r="C170" s="39"/>
      <c r="D170" s="41"/>
      <c r="E170" s="39"/>
      <c r="F170" s="39"/>
      <c r="G170" s="53" t="s">
        <v>58</v>
      </c>
      <c r="H170" s="42"/>
      <c r="I170" s="42"/>
      <c r="J170" s="42"/>
      <c r="K170" s="42"/>
      <c r="L170" s="42"/>
      <c r="M170" s="42"/>
      <c r="N170" s="42">
        <f aca="true" t="shared" si="47" ref="N170:N176">J170+(J170*0.07)</f>
        <v>0</v>
      </c>
      <c r="O170" s="42"/>
      <c r="P170" s="42"/>
      <c r="Q170" s="42">
        <f aca="true" t="shared" si="48" ref="Q170:Q176">N170+(N170*0.07)</f>
        <v>0</v>
      </c>
      <c r="R170" s="35" t="e">
        <f t="shared" si="35"/>
        <v>#DIV/0!</v>
      </c>
      <c r="S170" s="42"/>
      <c r="T170" s="47">
        <f>Q170*1.08</f>
        <v>0</v>
      </c>
      <c r="U170" s="47">
        <f aca="true" t="shared" si="49" ref="U170:U176">T170*1.08</f>
        <v>0</v>
      </c>
      <c r="V170" s="43"/>
      <c r="W170" s="37"/>
      <c r="X170" s="37" t="e">
        <f t="shared" si="46"/>
        <v>#DIV/0!</v>
      </c>
    </row>
    <row r="171" spans="1:24" ht="12.75">
      <c r="A171" s="39"/>
      <c r="B171" s="40"/>
      <c r="C171" s="39"/>
      <c r="D171" s="41"/>
      <c r="E171" s="39"/>
      <c r="F171" s="39"/>
      <c r="G171" s="53" t="s">
        <v>64</v>
      </c>
      <c r="H171" s="42"/>
      <c r="I171" s="42"/>
      <c r="J171" s="42">
        <v>9481</v>
      </c>
      <c r="K171" s="42"/>
      <c r="L171" s="42"/>
      <c r="M171" s="42"/>
      <c r="N171" s="42">
        <v>9845</v>
      </c>
      <c r="O171" s="42"/>
      <c r="P171" s="42"/>
      <c r="Q171" s="42">
        <f t="shared" si="48"/>
        <v>10534.15</v>
      </c>
      <c r="R171" s="35">
        <f t="shared" si="35"/>
        <v>107</v>
      </c>
      <c r="S171" s="42"/>
      <c r="T171" s="47">
        <f>Q171*1.08</f>
        <v>11376.882</v>
      </c>
      <c r="U171" s="47">
        <f t="shared" si="49"/>
        <v>12287.03256</v>
      </c>
      <c r="V171" s="43"/>
      <c r="W171" s="37"/>
      <c r="X171" s="37">
        <f t="shared" si="46"/>
        <v>103.839257462293</v>
      </c>
    </row>
    <row r="172" spans="1:24" ht="12.75">
      <c r="A172" s="39"/>
      <c r="B172" s="40"/>
      <c r="C172" s="39"/>
      <c r="D172" s="41"/>
      <c r="E172" s="39"/>
      <c r="F172" s="39"/>
      <c r="G172" s="53" t="s">
        <v>65</v>
      </c>
      <c r="H172" s="42"/>
      <c r="I172" s="42"/>
      <c r="J172" s="42">
        <v>8041</v>
      </c>
      <c r="K172" s="42"/>
      <c r="L172" s="42"/>
      <c r="M172" s="42"/>
      <c r="N172" s="42">
        <v>8304</v>
      </c>
      <c r="O172" s="42"/>
      <c r="P172" s="42"/>
      <c r="Q172" s="42">
        <f t="shared" si="48"/>
        <v>8885.28</v>
      </c>
      <c r="R172" s="35">
        <f t="shared" si="35"/>
        <v>107</v>
      </c>
      <c r="S172" s="42"/>
      <c r="T172" s="47">
        <f>Q172*1.08</f>
        <v>9596.102400000002</v>
      </c>
      <c r="U172" s="47">
        <f t="shared" si="49"/>
        <v>10363.790592000003</v>
      </c>
      <c r="V172" s="43"/>
      <c r="W172" s="37"/>
      <c r="X172" s="37">
        <f t="shared" si="46"/>
        <v>103.27073747046387</v>
      </c>
    </row>
    <row r="173" spans="1:24" ht="12.75">
      <c r="A173" s="39"/>
      <c r="B173" s="40"/>
      <c r="C173" s="39"/>
      <c r="D173" s="41"/>
      <c r="E173" s="39"/>
      <c r="F173" s="39"/>
      <c r="G173" s="53" t="s">
        <v>66</v>
      </c>
      <c r="H173" s="42"/>
      <c r="I173" s="42"/>
      <c r="J173" s="42">
        <v>70015</v>
      </c>
      <c r="K173" s="42"/>
      <c r="L173" s="42"/>
      <c r="M173" s="42"/>
      <c r="N173" s="42">
        <v>68833</v>
      </c>
      <c r="O173" s="42"/>
      <c r="P173" s="42"/>
      <c r="Q173" s="42">
        <f t="shared" si="48"/>
        <v>73651.31</v>
      </c>
      <c r="R173" s="35">
        <f t="shared" si="35"/>
        <v>107</v>
      </c>
      <c r="S173" s="42"/>
      <c r="T173" s="47">
        <f>Q173*1.08</f>
        <v>79543.4148</v>
      </c>
      <c r="U173" s="47">
        <f t="shared" si="49"/>
        <v>85906.887984</v>
      </c>
      <c r="V173" s="43"/>
      <c r="W173" s="37"/>
      <c r="X173" s="37">
        <f t="shared" si="46"/>
        <v>98.31179033064343</v>
      </c>
    </row>
    <row r="174" spans="1:24" ht="12.75">
      <c r="A174" s="39"/>
      <c r="B174" s="40"/>
      <c r="C174" s="39"/>
      <c r="D174" s="41"/>
      <c r="E174" s="39"/>
      <c r="F174" s="39">
        <v>142</v>
      </c>
      <c r="G174" s="39" t="s">
        <v>40</v>
      </c>
      <c r="H174" s="42">
        <v>751</v>
      </c>
      <c r="I174" s="42">
        <v>1821</v>
      </c>
      <c r="J174" s="42">
        <v>10459</v>
      </c>
      <c r="K174" s="42"/>
      <c r="L174" s="42"/>
      <c r="M174" s="42"/>
      <c r="N174" s="42">
        <v>9954</v>
      </c>
      <c r="O174" s="42"/>
      <c r="P174" s="42"/>
      <c r="Q174" s="42">
        <f>N174+(N174*0.07)+240+30+18</f>
        <v>10938.78</v>
      </c>
      <c r="R174" s="35">
        <f t="shared" si="35"/>
        <v>109.89330922242316</v>
      </c>
      <c r="S174" s="42"/>
      <c r="T174" s="47">
        <f>Q174*1.08+13+257+257</f>
        <v>12340.882400000002</v>
      </c>
      <c r="U174" s="47">
        <f>T174*1.08+270</f>
        <v>13598.152992000003</v>
      </c>
      <c r="V174" s="43"/>
      <c r="W174" s="37">
        <f>J174/I174*100</f>
        <v>574.3547501372872</v>
      </c>
      <c r="X174" s="37">
        <f t="shared" si="46"/>
        <v>95.17162252605411</v>
      </c>
    </row>
    <row r="175" spans="1:24" ht="12.75">
      <c r="A175" s="39"/>
      <c r="B175" s="40"/>
      <c r="C175" s="39"/>
      <c r="D175" s="41"/>
      <c r="E175" s="39"/>
      <c r="F175" s="39">
        <v>143</v>
      </c>
      <c r="G175" s="39" t="s">
        <v>41</v>
      </c>
      <c r="H175" s="42"/>
      <c r="I175" s="42"/>
      <c r="J175" s="42">
        <f>I175+(I175*0.07)</f>
        <v>0</v>
      </c>
      <c r="K175" s="42"/>
      <c r="L175" s="42"/>
      <c r="M175" s="42"/>
      <c r="N175" s="42">
        <f t="shared" si="47"/>
        <v>0</v>
      </c>
      <c r="O175" s="42"/>
      <c r="P175" s="42"/>
      <c r="Q175" s="42">
        <f t="shared" si="48"/>
        <v>0</v>
      </c>
      <c r="R175" s="35" t="e">
        <f t="shared" si="35"/>
        <v>#DIV/0!</v>
      </c>
      <c r="S175" s="42"/>
      <c r="T175" s="47">
        <f>Q175*1.08</f>
        <v>0</v>
      </c>
      <c r="U175" s="47">
        <f t="shared" si="49"/>
        <v>0</v>
      </c>
      <c r="V175" s="43"/>
      <c r="W175" s="37" t="e">
        <f>J175/I175*100</f>
        <v>#DIV/0!</v>
      </c>
      <c r="X175" s="37" t="e">
        <f t="shared" si="46"/>
        <v>#DIV/0!</v>
      </c>
    </row>
    <row r="176" spans="1:24" ht="12.75">
      <c r="A176" s="39"/>
      <c r="B176" s="40"/>
      <c r="C176" s="39"/>
      <c r="D176" s="41"/>
      <c r="E176" s="39"/>
      <c r="F176" s="39">
        <v>147</v>
      </c>
      <c r="G176" s="39" t="s">
        <v>42</v>
      </c>
      <c r="H176" s="42"/>
      <c r="I176" s="42"/>
      <c r="J176" s="42">
        <f>I176+(I176*0.07)</f>
        <v>0</v>
      </c>
      <c r="K176" s="42"/>
      <c r="L176" s="42"/>
      <c r="M176" s="42"/>
      <c r="N176" s="42">
        <f t="shared" si="47"/>
        <v>0</v>
      </c>
      <c r="O176" s="42"/>
      <c r="P176" s="42"/>
      <c r="Q176" s="42">
        <f t="shared" si="48"/>
        <v>0</v>
      </c>
      <c r="R176" s="35" t="e">
        <f t="shared" si="35"/>
        <v>#DIV/0!</v>
      </c>
      <c r="S176" s="42"/>
      <c r="T176" s="47">
        <f>Q176*1.08</f>
        <v>0</v>
      </c>
      <c r="U176" s="47">
        <f t="shared" si="49"/>
        <v>0</v>
      </c>
      <c r="V176" s="43"/>
      <c r="W176" s="37"/>
      <c r="X176" s="37"/>
    </row>
    <row r="177" spans="1:24" ht="25.5">
      <c r="A177" s="39"/>
      <c r="B177" s="40"/>
      <c r="C177" s="39"/>
      <c r="D177" s="41"/>
      <c r="E177" s="39"/>
      <c r="F177" s="39">
        <v>149</v>
      </c>
      <c r="G177" s="39" t="s">
        <v>43</v>
      </c>
      <c r="H177" s="42">
        <v>52332</v>
      </c>
      <c r="I177" s="42">
        <v>59800</v>
      </c>
      <c r="J177" s="42">
        <v>62734</v>
      </c>
      <c r="K177" s="42"/>
      <c r="L177" s="42"/>
      <c r="M177" s="42"/>
      <c r="N177" s="42">
        <v>53240</v>
      </c>
      <c r="O177" s="42"/>
      <c r="P177" s="42"/>
      <c r="Q177" s="42">
        <f>N177+(N177*0.07)+1300+560+378</f>
        <v>59204.8</v>
      </c>
      <c r="R177" s="35">
        <f t="shared" si="35"/>
        <v>111.20360631104434</v>
      </c>
      <c r="S177" s="42"/>
      <c r="T177" s="47">
        <f>Q177*1.08+243+1498+1498</f>
        <v>67180.18400000001</v>
      </c>
      <c r="U177" s="47">
        <f>T177*1.08+1451</f>
        <v>74005.59872000001</v>
      </c>
      <c r="V177" s="46" t="s">
        <v>111</v>
      </c>
      <c r="W177" s="37">
        <f>J177/I177*100</f>
        <v>104.90635451505017</v>
      </c>
      <c r="X177" s="37">
        <f>N177/J177*100</f>
        <v>84.86626071986483</v>
      </c>
    </row>
    <row r="178" spans="1:24" ht="12.75">
      <c r="A178" s="39"/>
      <c r="B178" s="40"/>
      <c r="C178" s="39"/>
      <c r="D178" s="41"/>
      <c r="E178" s="39"/>
      <c r="F178" s="39">
        <v>151</v>
      </c>
      <c r="G178" s="39" t="s">
        <v>45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35" t="e">
        <f t="shared" si="35"/>
        <v>#DIV/0!</v>
      </c>
      <c r="S178" s="42"/>
      <c r="T178" s="47"/>
      <c r="U178" s="35"/>
      <c r="V178" s="43"/>
      <c r="W178" s="37" t="e">
        <f>J178/I178*100</f>
        <v>#DIV/0!</v>
      </c>
      <c r="X178" s="37" t="e">
        <f>N178/J178*100</f>
        <v>#DIV/0!</v>
      </c>
    </row>
    <row r="179" spans="1:24" ht="12.75">
      <c r="A179" s="39"/>
      <c r="B179" s="40"/>
      <c r="C179" s="39"/>
      <c r="D179" s="41"/>
      <c r="E179" s="39"/>
      <c r="F179" s="39">
        <v>159</v>
      </c>
      <c r="G179" s="39" t="s">
        <v>46</v>
      </c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35" t="e">
        <f t="shared" si="35"/>
        <v>#DIV/0!</v>
      </c>
      <c r="S179" s="42"/>
      <c r="T179" s="47"/>
      <c r="U179" s="35"/>
      <c r="V179" s="43"/>
      <c r="W179" s="37"/>
      <c r="X179" s="37"/>
    </row>
    <row r="180" spans="1:24" ht="12.75">
      <c r="A180" s="39"/>
      <c r="B180" s="40"/>
      <c r="C180" s="39"/>
      <c r="D180" s="41"/>
      <c r="E180" s="39"/>
      <c r="F180" s="39">
        <v>332</v>
      </c>
      <c r="G180" s="39" t="s">
        <v>112</v>
      </c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35" t="e">
        <f t="shared" si="35"/>
        <v>#DIV/0!</v>
      </c>
      <c r="S180" s="42"/>
      <c r="T180" s="47"/>
      <c r="U180" s="35"/>
      <c r="V180" s="43"/>
      <c r="W180" s="37"/>
      <c r="X180" s="37"/>
    </row>
    <row r="181" spans="1:24" ht="25.5">
      <c r="A181" s="39"/>
      <c r="B181" s="40"/>
      <c r="C181" s="39"/>
      <c r="D181" s="41"/>
      <c r="E181" s="39"/>
      <c r="F181" s="39">
        <v>413</v>
      </c>
      <c r="G181" s="39" t="s">
        <v>49</v>
      </c>
      <c r="H181" s="42"/>
      <c r="I181" s="42"/>
      <c r="J181" s="42"/>
      <c r="K181" s="42">
        <v>450</v>
      </c>
      <c r="L181" s="42"/>
      <c r="M181" s="42"/>
      <c r="N181" s="42"/>
      <c r="O181" s="42"/>
      <c r="P181" s="42"/>
      <c r="Q181" s="42"/>
      <c r="R181" s="35" t="e">
        <f t="shared" si="35"/>
        <v>#DIV/0!</v>
      </c>
      <c r="S181" s="42"/>
      <c r="T181" s="47"/>
      <c r="U181" s="35"/>
      <c r="V181" s="46"/>
      <c r="W181" s="37"/>
      <c r="X181" s="37"/>
    </row>
    <row r="182" spans="1:24" ht="38.25">
      <c r="A182" s="39"/>
      <c r="B182" s="40"/>
      <c r="C182" s="39"/>
      <c r="D182" s="41"/>
      <c r="E182" s="39"/>
      <c r="F182" s="39">
        <v>433</v>
      </c>
      <c r="G182" s="39" t="s">
        <v>113</v>
      </c>
      <c r="H182" s="42"/>
      <c r="I182" s="42"/>
      <c r="J182" s="42"/>
      <c r="K182" s="42">
        <v>3110</v>
      </c>
      <c r="L182" s="42"/>
      <c r="M182" s="42"/>
      <c r="N182" s="42"/>
      <c r="O182" s="42"/>
      <c r="P182" s="42"/>
      <c r="Q182" s="42"/>
      <c r="R182" s="35" t="e">
        <f t="shared" si="35"/>
        <v>#DIV/0!</v>
      </c>
      <c r="S182" s="42"/>
      <c r="T182" s="47">
        <v>400000</v>
      </c>
      <c r="U182" s="35">
        <v>400000</v>
      </c>
      <c r="V182" s="46" t="s">
        <v>114</v>
      </c>
      <c r="W182" s="37"/>
      <c r="X182" s="37"/>
    </row>
    <row r="183" spans="1:24" ht="12.75">
      <c r="A183" s="39"/>
      <c r="B183" s="40"/>
      <c r="C183" s="39"/>
      <c r="D183" s="41"/>
      <c r="E183" s="39"/>
      <c r="F183" s="39">
        <v>461</v>
      </c>
      <c r="G183" s="39" t="s">
        <v>115</v>
      </c>
      <c r="H183" s="42"/>
      <c r="I183" s="42"/>
      <c r="J183" s="42">
        <v>8800</v>
      </c>
      <c r="K183" s="42"/>
      <c r="L183" s="42"/>
      <c r="M183" s="42"/>
      <c r="N183" s="42"/>
      <c r="O183" s="42"/>
      <c r="P183" s="42"/>
      <c r="Q183" s="42"/>
      <c r="R183" s="35" t="e">
        <f t="shared" si="35"/>
        <v>#DIV/0!</v>
      </c>
      <c r="S183" s="42"/>
      <c r="T183" s="47"/>
      <c r="U183" s="35"/>
      <c r="V183" s="57" t="s">
        <v>116</v>
      </c>
      <c r="W183" s="37" t="e">
        <f aca="true" t="shared" si="50" ref="W183:W203">J183/I183*100</f>
        <v>#DIV/0!</v>
      </c>
      <c r="X183" s="37">
        <f aca="true" t="shared" si="51" ref="X183:X194">N183/J183*100</f>
        <v>0</v>
      </c>
    </row>
    <row r="184" spans="1:24" ht="38.25">
      <c r="A184" s="39"/>
      <c r="B184" s="40"/>
      <c r="C184" s="39"/>
      <c r="D184" s="41">
        <v>40</v>
      </c>
      <c r="E184" s="39"/>
      <c r="F184" s="39"/>
      <c r="G184" s="51" t="s">
        <v>117</v>
      </c>
      <c r="H184" s="42"/>
      <c r="I184" s="42"/>
      <c r="J184" s="42"/>
      <c r="K184" s="42"/>
      <c r="L184" s="42"/>
      <c r="M184" s="42"/>
      <c r="N184" s="42"/>
      <c r="O184" s="42"/>
      <c r="P184" s="42"/>
      <c r="Q184" s="42">
        <v>350367</v>
      </c>
      <c r="R184" s="35"/>
      <c r="S184" s="42"/>
      <c r="T184" s="47"/>
      <c r="U184" s="35"/>
      <c r="V184" s="57"/>
      <c r="W184" s="37"/>
      <c r="X184" s="37"/>
    </row>
    <row r="185" spans="1:24" ht="51">
      <c r="A185" s="39"/>
      <c r="B185" s="40"/>
      <c r="C185" s="39"/>
      <c r="D185" s="41">
        <v>21</v>
      </c>
      <c r="E185" s="39"/>
      <c r="F185" s="39"/>
      <c r="G185" s="58" t="s">
        <v>118</v>
      </c>
      <c r="H185" s="42"/>
      <c r="I185" s="42"/>
      <c r="J185" s="42"/>
      <c r="K185" s="42"/>
      <c r="L185" s="42"/>
      <c r="M185" s="42"/>
      <c r="N185" s="42">
        <f>SUM(N186:N189)</f>
        <v>0</v>
      </c>
      <c r="O185" s="42"/>
      <c r="P185" s="42"/>
      <c r="Q185" s="42"/>
      <c r="R185" s="35" t="e">
        <f t="shared" si="35"/>
        <v>#DIV/0!</v>
      </c>
      <c r="S185" s="42"/>
      <c r="T185" s="47"/>
      <c r="U185" s="47"/>
      <c r="V185" s="57" t="s">
        <v>119</v>
      </c>
      <c r="W185" s="37"/>
      <c r="X185" s="37"/>
    </row>
    <row r="186" spans="1:24" ht="12.75">
      <c r="A186" s="39"/>
      <c r="B186" s="40"/>
      <c r="C186" s="39"/>
      <c r="D186" s="41"/>
      <c r="E186" s="39"/>
      <c r="F186" s="39">
        <v>111</v>
      </c>
      <c r="G186" s="39" t="s">
        <v>33</v>
      </c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35" t="e">
        <f t="shared" si="35"/>
        <v>#DIV/0!</v>
      </c>
      <c r="S186" s="42"/>
      <c r="T186" s="47"/>
      <c r="U186" s="35"/>
      <c r="V186" s="57"/>
      <c r="W186" s="37"/>
      <c r="X186" s="37"/>
    </row>
    <row r="187" spans="1:24" ht="12.75">
      <c r="A187" s="39"/>
      <c r="B187" s="40"/>
      <c r="C187" s="39"/>
      <c r="D187" s="41"/>
      <c r="E187" s="39"/>
      <c r="F187" s="39">
        <v>121</v>
      </c>
      <c r="G187" s="39" t="s">
        <v>36</v>
      </c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35" t="e">
        <f t="shared" si="35"/>
        <v>#DIV/0!</v>
      </c>
      <c r="S187" s="42"/>
      <c r="T187" s="47"/>
      <c r="U187" s="35"/>
      <c r="V187" s="57"/>
      <c r="W187" s="37"/>
      <c r="X187" s="37"/>
    </row>
    <row r="188" spans="1:24" ht="25.5">
      <c r="A188" s="39"/>
      <c r="B188" s="40"/>
      <c r="C188" s="39"/>
      <c r="D188" s="41"/>
      <c r="E188" s="39"/>
      <c r="F188" s="39">
        <v>122</v>
      </c>
      <c r="G188" s="39" t="s">
        <v>37</v>
      </c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35" t="e">
        <f t="shared" si="35"/>
        <v>#DIV/0!</v>
      </c>
      <c r="S188" s="42"/>
      <c r="T188" s="47"/>
      <c r="U188" s="35"/>
      <c r="V188" s="57"/>
      <c r="W188" s="37"/>
      <c r="X188" s="37"/>
    </row>
    <row r="189" spans="1:24" ht="12.75">
      <c r="A189" s="39"/>
      <c r="B189" s="40"/>
      <c r="C189" s="39"/>
      <c r="D189" s="41"/>
      <c r="E189" s="39"/>
      <c r="F189" s="39">
        <v>149</v>
      </c>
      <c r="G189" s="39" t="s">
        <v>43</v>
      </c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35" t="e">
        <f t="shared" si="35"/>
        <v>#DIV/0!</v>
      </c>
      <c r="S189" s="42"/>
      <c r="T189" s="47"/>
      <c r="U189" s="35"/>
      <c r="V189" s="57"/>
      <c r="W189" s="37"/>
      <c r="X189" s="37"/>
    </row>
    <row r="190" spans="1:24" ht="25.5">
      <c r="A190" s="39"/>
      <c r="B190" s="40" t="s">
        <v>69</v>
      </c>
      <c r="C190" s="39"/>
      <c r="D190" s="41"/>
      <c r="E190" s="39"/>
      <c r="F190" s="39"/>
      <c r="G190" s="39" t="s">
        <v>120</v>
      </c>
      <c r="H190" s="42" t="e">
        <f aca="true" t="shared" si="52" ref="H190:U190">H191</f>
        <v>#REF!</v>
      </c>
      <c r="I190" s="42">
        <f t="shared" si="52"/>
        <v>3455613.92</v>
      </c>
      <c r="J190" s="42">
        <f t="shared" si="52"/>
        <v>4584733.171</v>
      </c>
      <c r="K190" s="42"/>
      <c r="L190" s="42"/>
      <c r="M190" s="42"/>
      <c r="N190" s="42">
        <f t="shared" si="52"/>
        <v>5251593.274999999</v>
      </c>
      <c r="O190" s="42"/>
      <c r="P190" s="42"/>
      <c r="Q190" s="42">
        <f t="shared" si="52"/>
        <v>5710661.875599999</v>
      </c>
      <c r="R190" s="35">
        <f t="shared" si="35"/>
        <v>108.7415109388874</v>
      </c>
      <c r="S190" s="42"/>
      <c r="T190" s="42">
        <f t="shared" si="52"/>
        <v>6338826.623888001</v>
      </c>
      <c r="U190" s="42">
        <f t="shared" si="52"/>
        <v>6926337.490170239</v>
      </c>
      <c r="V190" s="43"/>
      <c r="W190" s="37">
        <f t="shared" si="50"/>
        <v>132.67492483651066</v>
      </c>
      <c r="X190" s="37">
        <f t="shared" si="51"/>
        <v>114.54523260411568</v>
      </c>
    </row>
    <row r="191" spans="1:24" ht="25.5">
      <c r="A191" s="39"/>
      <c r="B191" s="40"/>
      <c r="C191" s="39">
        <v>464</v>
      </c>
      <c r="D191" s="41"/>
      <c r="E191" s="39"/>
      <c r="F191" s="39"/>
      <c r="G191" s="39" t="s">
        <v>101</v>
      </c>
      <c r="H191" s="42" t="e">
        <f>H192+H237</f>
        <v>#REF!</v>
      </c>
      <c r="I191" s="42">
        <f>I192+I237</f>
        <v>3455613.92</v>
      </c>
      <c r="J191" s="42">
        <f>J192+J237</f>
        <v>4584733.171</v>
      </c>
      <c r="K191" s="42"/>
      <c r="L191" s="42"/>
      <c r="M191" s="42"/>
      <c r="N191" s="42">
        <f>N192+N237+N232+N230</f>
        <v>5251593.274999999</v>
      </c>
      <c r="O191" s="42">
        <f aca="true" t="shared" si="53" ref="O191:U191">O192+O237+O232+O230</f>
        <v>0</v>
      </c>
      <c r="P191" s="42"/>
      <c r="Q191" s="42">
        <f>Q192+Q237+Q232+Q230</f>
        <v>5710661.875599999</v>
      </c>
      <c r="R191" s="35">
        <f t="shared" si="35"/>
        <v>108.7415109388874</v>
      </c>
      <c r="S191" s="42"/>
      <c r="T191" s="42">
        <f t="shared" si="53"/>
        <v>6338826.623888001</v>
      </c>
      <c r="U191" s="42">
        <f t="shared" si="53"/>
        <v>6926337.490170239</v>
      </c>
      <c r="V191" s="43"/>
      <c r="W191" s="37">
        <f t="shared" si="50"/>
        <v>132.67492483651066</v>
      </c>
      <c r="X191" s="37">
        <f t="shared" si="51"/>
        <v>114.54523260411568</v>
      </c>
    </row>
    <row r="192" spans="1:24" ht="12.75">
      <c r="A192" s="39"/>
      <c r="B192" s="40"/>
      <c r="C192" s="39"/>
      <c r="D192" s="41">
        <v>3</v>
      </c>
      <c r="E192" s="39"/>
      <c r="F192" s="39"/>
      <c r="G192" s="45" t="s">
        <v>121</v>
      </c>
      <c r="H192" s="42" t="e">
        <f>#REF!+H193</f>
        <v>#REF!</v>
      </c>
      <c r="I192" s="42">
        <f>I193</f>
        <v>3155203.293</v>
      </c>
      <c r="J192" s="42">
        <f>J193</f>
        <v>4226764.001</v>
      </c>
      <c r="K192" s="42"/>
      <c r="L192" s="42">
        <v>4901955</v>
      </c>
      <c r="M192" s="42">
        <v>4753038</v>
      </c>
      <c r="N192" s="42">
        <f>N193</f>
        <v>4842046.299</v>
      </c>
      <c r="O192" s="42"/>
      <c r="P192" s="42"/>
      <c r="Q192" s="42">
        <f>Q193+15000+624+45067+108488+30567-19948+6000+683</f>
        <v>5292081.199599999</v>
      </c>
      <c r="R192" s="35">
        <f t="shared" si="35"/>
        <v>109.29431221450614</v>
      </c>
      <c r="S192" s="42"/>
      <c r="T192" s="42">
        <f>T193+123045</f>
        <v>5920325.851888001</v>
      </c>
      <c r="U192" s="42">
        <f>U193+160585+65925+251000+123045</f>
        <v>6505487.614490239</v>
      </c>
      <c r="V192" s="48" t="s">
        <v>122</v>
      </c>
      <c r="W192" s="37">
        <f t="shared" si="50"/>
        <v>133.96170099014915</v>
      </c>
      <c r="X192" s="37">
        <f t="shared" si="51"/>
        <v>114.55681693736463</v>
      </c>
    </row>
    <row r="193" spans="1:25" ht="63.75">
      <c r="A193" s="39"/>
      <c r="B193" s="40"/>
      <c r="C193" s="39"/>
      <c r="D193" s="41"/>
      <c r="E193" s="39">
        <v>105</v>
      </c>
      <c r="F193" s="39"/>
      <c r="G193" s="39" t="s">
        <v>123</v>
      </c>
      <c r="H193" s="42">
        <f>SUM(H194:H229)</f>
        <v>2917232</v>
      </c>
      <c r="I193" s="42">
        <f>I194+I196+I197+I198+I199+I200+I201+I202+I203+I208+I209+I210+I224+I225+I226+I227</f>
        <v>3155203.293</v>
      </c>
      <c r="J193" s="42">
        <f>J194+J196+J197+J198+J199+J200+J201+J202+J203+J208+J209+J210+J224+J225+J226+J227+J229</f>
        <v>4226764.001</v>
      </c>
      <c r="K193" s="42">
        <f>SUM(K194:K203,K208:K210,K223:K229)</f>
        <v>4308605</v>
      </c>
      <c r="L193" s="42"/>
      <c r="M193" s="42"/>
      <c r="N193" s="42">
        <f>N194+N196+N197+N198+N199+N200+N201+N202+N203+N208+N209+N210+N224+N225+N226+N227+N229+N228</f>
        <v>4842046.299</v>
      </c>
      <c r="O193" s="42"/>
      <c r="P193" s="42"/>
      <c r="Q193" s="42">
        <f>Q194+Q196+Q197+Q198+Q199+Q200+Q201+Q202+Q203+Q208+Q209+Q210+Q224+Q225+Q226+Q227+Q229</f>
        <v>5105600.199599999</v>
      </c>
      <c r="R193" s="35">
        <f t="shared" si="35"/>
        <v>105.44302727246597</v>
      </c>
      <c r="S193" s="42"/>
      <c r="T193" s="42">
        <f>T194+T196+T197+T198+T199+T200+T201+T202+T203+T208+T209+T210+T224+T225+T226+T227+T229+T228</f>
        <v>5797280.851888001</v>
      </c>
      <c r="U193" s="42">
        <f>U194+U196+U197+U198+U199+U200+U201+U202+U203+U208+U209+U210+U224+U225+U226+U227+U229+U228</f>
        <v>5904932.614490239</v>
      </c>
      <c r="V193" s="48" t="s">
        <v>124</v>
      </c>
      <c r="W193" s="37">
        <f t="shared" si="50"/>
        <v>133.96170099014915</v>
      </c>
      <c r="X193" s="37">
        <f t="shared" si="51"/>
        <v>114.55681693736463</v>
      </c>
      <c r="Y193" s="42"/>
    </row>
    <row r="194" spans="1:25" ht="12.75">
      <c r="A194" s="39"/>
      <c r="B194" s="40"/>
      <c r="C194" s="39"/>
      <c r="D194" s="41"/>
      <c r="E194" s="39"/>
      <c r="F194" s="39">
        <v>111</v>
      </c>
      <c r="G194" s="39" t="s">
        <v>33</v>
      </c>
      <c r="H194" s="42">
        <v>2033615</v>
      </c>
      <c r="I194" s="42">
        <v>2199687</v>
      </c>
      <c r="J194" s="42">
        <v>2997899</v>
      </c>
      <c r="K194" s="42">
        <v>3024018</v>
      </c>
      <c r="L194" s="42"/>
      <c r="M194" s="42"/>
      <c r="N194" s="42">
        <v>3520681</v>
      </c>
      <c r="O194" s="42">
        <v>3504953</v>
      </c>
      <c r="P194" s="42"/>
      <c r="Q194" s="42">
        <f>3520681+15133+102677+32191</f>
        <v>3670682</v>
      </c>
      <c r="R194" s="35">
        <f t="shared" si="35"/>
        <v>104.26056777083753</v>
      </c>
      <c r="S194" s="42"/>
      <c r="T194" s="42">
        <f>3520681+15133+21554+102677+32191</f>
        <v>3692236</v>
      </c>
      <c r="U194" s="42">
        <f>3520681+15133+21554+31158+102677+32191</f>
        <v>3723394</v>
      </c>
      <c r="V194" s="48"/>
      <c r="W194" s="37">
        <f t="shared" si="50"/>
        <v>136.2875263617051</v>
      </c>
      <c r="X194" s="37">
        <f t="shared" si="51"/>
        <v>117.43827927491888</v>
      </c>
      <c r="Y194" s="59"/>
    </row>
    <row r="195" spans="1:25" ht="12.75">
      <c r="A195" s="39"/>
      <c r="B195" s="40"/>
      <c r="C195" s="39"/>
      <c r="D195" s="41"/>
      <c r="E195" s="39"/>
      <c r="F195" s="39">
        <v>112</v>
      </c>
      <c r="G195" s="39"/>
      <c r="H195" s="42"/>
      <c r="I195" s="42"/>
      <c r="J195" s="42"/>
      <c r="K195" s="42">
        <v>909</v>
      </c>
      <c r="L195" s="42"/>
      <c r="M195" s="42"/>
      <c r="N195" s="42"/>
      <c r="O195" s="42"/>
      <c r="P195" s="42"/>
      <c r="Q195" s="42"/>
      <c r="R195" s="35" t="e">
        <f t="shared" si="35"/>
        <v>#DIV/0!</v>
      </c>
      <c r="S195" s="42"/>
      <c r="T195" s="42"/>
      <c r="U195" s="35"/>
      <c r="V195" s="48"/>
      <c r="W195" s="37"/>
      <c r="X195" s="37"/>
      <c r="Y195" s="59"/>
    </row>
    <row r="196" spans="1:24" ht="12.75">
      <c r="A196" s="39"/>
      <c r="B196" s="40"/>
      <c r="C196" s="39"/>
      <c r="D196" s="41"/>
      <c r="E196" s="39"/>
      <c r="F196" s="39">
        <v>113</v>
      </c>
      <c r="G196" s="39" t="s">
        <v>35</v>
      </c>
      <c r="H196" s="42">
        <v>136921</v>
      </c>
      <c r="I196" s="42">
        <v>111753</v>
      </c>
      <c r="J196" s="42">
        <v>167800</v>
      </c>
      <c r="K196" s="42">
        <v>166502</v>
      </c>
      <c r="L196" s="42"/>
      <c r="M196" s="42"/>
      <c r="N196" s="42">
        <v>189882</v>
      </c>
      <c r="O196" s="42">
        <v>188941</v>
      </c>
      <c r="P196" s="42"/>
      <c r="Q196" s="42">
        <f>189882+1259+6020+2364</f>
        <v>199525</v>
      </c>
      <c r="R196" s="35">
        <f t="shared" si="35"/>
        <v>105.07841712221276</v>
      </c>
      <c r="S196" s="42"/>
      <c r="T196" s="42">
        <f>189882+1259+1797+6020+2364</f>
        <v>201322</v>
      </c>
      <c r="U196" s="42">
        <f>189882+1259+1797+2642+6020+2364</f>
        <v>203964</v>
      </c>
      <c r="V196" s="60"/>
      <c r="W196" s="37">
        <f t="shared" si="50"/>
        <v>150.1525686111335</v>
      </c>
      <c r="X196" s="37">
        <f aca="true" t="shared" si="54" ref="X196:X203">N196/J196*100</f>
        <v>113.15971394517284</v>
      </c>
    </row>
    <row r="197" spans="1:25" ht="12.75">
      <c r="A197" s="39"/>
      <c r="B197" s="40"/>
      <c r="C197" s="39"/>
      <c r="D197" s="41"/>
      <c r="E197" s="39"/>
      <c r="F197" s="39">
        <v>121</v>
      </c>
      <c r="G197" s="39" t="s">
        <v>36</v>
      </c>
      <c r="H197" s="42">
        <v>128119</v>
      </c>
      <c r="I197" s="42">
        <f>(I194-(I194*0.1))*0.06</f>
        <v>118783.098</v>
      </c>
      <c r="J197" s="42">
        <f>(J194-(J194*0.1))*0.06</f>
        <v>161886.546</v>
      </c>
      <c r="K197" s="42">
        <v>165198</v>
      </c>
      <c r="L197" s="42"/>
      <c r="M197" s="42"/>
      <c r="N197" s="42">
        <f>(N194-(N194*0.1))*0.06</f>
        <v>190116.77399999998</v>
      </c>
      <c r="O197" s="42">
        <f>(O194-(O194*0.1))*0.06</f>
        <v>189267.462</v>
      </c>
      <c r="P197" s="42"/>
      <c r="Q197" s="42">
        <f>(Q194-(Q194*0.1))*0.06</f>
        <v>198216.82799999998</v>
      </c>
      <c r="R197" s="35">
        <f t="shared" si="35"/>
        <v>104.26056777083753</v>
      </c>
      <c r="S197" s="42"/>
      <c r="T197" s="42">
        <f>(T194-(T194*0.1))*0.06</f>
        <v>199380.74399999998</v>
      </c>
      <c r="U197" s="42">
        <f>(U194-(U194*0.1))*0.06</f>
        <v>201063.276</v>
      </c>
      <c r="V197" s="61"/>
      <c r="W197" s="37">
        <f t="shared" si="50"/>
        <v>136.2875263617051</v>
      </c>
      <c r="X197" s="37">
        <f t="shared" si="54"/>
        <v>117.43827927491886</v>
      </c>
      <c r="Y197" s="42"/>
    </row>
    <row r="198" spans="1:25" ht="25.5">
      <c r="A198" s="39"/>
      <c r="B198" s="40"/>
      <c r="C198" s="39"/>
      <c r="D198" s="41"/>
      <c r="E198" s="39"/>
      <c r="F198" s="39">
        <v>122</v>
      </c>
      <c r="G198" s="39" t="s">
        <v>37</v>
      </c>
      <c r="H198" s="42">
        <v>73210</v>
      </c>
      <c r="I198" s="42">
        <f>(I194-(I194*0.1))*0.05</f>
        <v>98985.91500000001</v>
      </c>
      <c r="J198" s="42">
        <f>(J194-(J194*0.1))*0.05</f>
        <v>134905.45500000002</v>
      </c>
      <c r="K198" s="42">
        <v>133724</v>
      </c>
      <c r="L198" s="42"/>
      <c r="M198" s="42"/>
      <c r="N198" s="42">
        <f>(N194-(N194*0.1))*0.05</f>
        <v>158430.64500000002</v>
      </c>
      <c r="O198" s="42">
        <f>(O194-(O194*0.1))*0.05</f>
        <v>157722.885</v>
      </c>
      <c r="P198" s="42"/>
      <c r="Q198" s="42">
        <f>(Q194-(Q194*0.1))*0.05</f>
        <v>165180.69</v>
      </c>
      <c r="R198" s="35">
        <f t="shared" si="35"/>
        <v>104.2605677708375</v>
      </c>
      <c r="S198" s="42"/>
      <c r="T198" s="42">
        <f>(T194-(T194*0.1))*0.05</f>
        <v>166150.62</v>
      </c>
      <c r="U198" s="42">
        <f>(U194-(U194*0.1))*0.05</f>
        <v>167552.73</v>
      </c>
      <c r="V198" s="61"/>
      <c r="W198" s="37">
        <f t="shared" si="50"/>
        <v>136.2875263617051</v>
      </c>
      <c r="X198" s="37">
        <f t="shared" si="54"/>
        <v>117.43827927491888</v>
      </c>
      <c r="Y198" s="42"/>
    </row>
    <row r="199" spans="1:24" ht="38.25">
      <c r="A199" s="39"/>
      <c r="B199" s="40"/>
      <c r="C199" s="39"/>
      <c r="D199" s="41"/>
      <c r="E199" s="39"/>
      <c r="F199" s="39">
        <v>125</v>
      </c>
      <c r="G199" s="39" t="s">
        <v>38</v>
      </c>
      <c r="H199" s="42">
        <v>215</v>
      </c>
      <c r="I199" s="42">
        <v>216</v>
      </c>
      <c r="J199" s="42">
        <v>330</v>
      </c>
      <c r="K199" s="42">
        <v>349</v>
      </c>
      <c r="L199" s="42"/>
      <c r="M199" s="42"/>
      <c r="N199" s="42">
        <f>J199+(J199*0.07)</f>
        <v>353.1</v>
      </c>
      <c r="O199" s="42"/>
      <c r="P199" s="42"/>
      <c r="Q199" s="42">
        <f>N199+(N199*0.07)</f>
        <v>377.817</v>
      </c>
      <c r="R199" s="35">
        <f t="shared" si="35"/>
        <v>107</v>
      </c>
      <c r="S199" s="42"/>
      <c r="T199" s="47">
        <f>Q199*1.08</f>
        <v>408.04236000000003</v>
      </c>
      <c r="U199" s="47">
        <f>T199*1.08</f>
        <v>440.68574880000006</v>
      </c>
      <c r="V199" s="61"/>
      <c r="W199" s="37">
        <f t="shared" si="50"/>
        <v>152.77777777777777</v>
      </c>
      <c r="X199" s="37">
        <f t="shared" si="54"/>
        <v>107</v>
      </c>
    </row>
    <row r="200" spans="1:24" ht="12.75">
      <c r="A200" s="39"/>
      <c r="B200" s="40"/>
      <c r="C200" s="39"/>
      <c r="D200" s="41"/>
      <c r="E200" s="39"/>
      <c r="F200" s="39">
        <v>131</v>
      </c>
      <c r="G200" s="39" t="s">
        <v>110</v>
      </c>
      <c r="H200" s="42">
        <v>2020</v>
      </c>
      <c r="I200" s="42">
        <v>4761</v>
      </c>
      <c r="J200" s="42">
        <v>18727</v>
      </c>
      <c r="K200" s="42">
        <v>17474</v>
      </c>
      <c r="L200" s="42"/>
      <c r="M200" s="42"/>
      <c r="N200" s="42">
        <v>21974</v>
      </c>
      <c r="O200" s="42"/>
      <c r="P200" s="42"/>
      <c r="Q200" s="42">
        <f>N200+(N200*0.07)</f>
        <v>23512.18</v>
      </c>
      <c r="R200" s="35">
        <f t="shared" si="35"/>
        <v>107</v>
      </c>
      <c r="S200" s="42"/>
      <c r="T200" s="47">
        <f>Q200*1.08</f>
        <v>25393.154400000003</v>
      </c>
      <c r="U200" s="47">
        <f aca="true" t="shared" si="55" ref="U200:U207">T200*1.08</f>
        <v>27424.606752000003</v>
      </c>
      <c r="V200" s="48"/>
      <c r="W200" s="37">
        <f t="shared" si="50"/>
        <v>393.34173492963663</v>
      </c>
      <c r="X200" s="37">
        <f t="shared" si="54"/>
        <v>117.338602018476</v>
      </c>
    </row>
    <row r="201" spans="1:24" ht="25.5">
      <c r="A201" s="39"/>
      <c r="B201" s="40"/>
      <c r="C201" s="39"/>
      <c r="D201" s="41"/>
      <c r="E201" s="39"/>
      <c r="F201" s="39">
        <v>132</v>
      </c>
      <c r="G201" s="39" t="s">
        <v>89</v>
      </c>
      <c r="H201" s="42">
        <v>930</v>
      </c>
      <c r="I201" s="42">
        <v>1036</v>
      </c>
      <c r="J201" s="42">
        <v>1215</v>
      </c>
      <c r="K201" s="42">
        <v>1224</v>
      </c>
      <c r="L201" s="42"/>
      <c r="M201" s="42"/>
      <c r="N201" s="42">
        <v>1391</v>
      </c>
      <c r="O201" s="42"/>
      <c r="P201" s="42"/>
      <c r="Q201" s="42">
        <f>N201+(N201*0.07)+200+173</f>
        <v>1861.37</v>
      </c>
      <c r="R201" s="35">
        <f t="shared" si="35"/>
        <v>133.81524083393242</v>
      </c>
      <c r="S201" s="42"/>
      <c r="T201" s="47">
        <f>Q201*1.08</f>
        <v>2010.2796</v>
      </c>
      <c r="U201" s="47">
        <f>T201*1.08</f>
        <v>2171.1019680000004</v>
      </c>
      <c r="V201" s="61"/>
      <c r="W201" s="37">
        <f t="shared" si="50"/>
        <v>117.27799227799227</v>
      </c>
      <c r="X201" s="37">
        <f t="shared" si="54"/>
        <v>114.48559670781893</v>
      </c>
    </row>
    <row r="202" spans="1:24" ht="12.75">
      <c r="A202" s="39"/>
      <c r="B202" s="40"/>
      <c r="C202" s="39"/>
      <c r="D202" s="41"/>
      <c r="E202" s="39"/>
      <c r="F202" s="39">
        <v>139</v>
      </c>
      <c r="G202" s="39" t="s">
        <v>39</v>
      </c>
      <c r="H202" s="42">
        <v>125995</v>
      </c>
      <c r="I202" s="42">
        <v>135832</v>
      </c>
      <c r="J202" s="42">
        <v>100891</v>
      </c>
      <c r="K202" s="42">
        <v>103433</v>
      </c>
      <c r="L202" s="42"/>
      <c r="M202" s="42"/>
      <c r="N202" s="42">
        <v>95086</v>
      </c>
      <c r="O202" s="42"/>
      <c r="P202" s="42"/>
      <c r="Q202" s="42">
        <f>N202+(N202*0.07)+1512+2740+2210</f>
        <v>108204.02</v>
      </c>
      <c r="R202" s="35">
        <f t="shared" si="35"/>
        <v>113.79595313716004</v>
      </c>
      <c r="S202" s="42"/>
      <c r="T202" s="47">
        <f>Q202*1.08+2160</f>
        <v>119020.34160000001</v>
      </c>
      <c r="U202" s="47">
        <f>T202*1.08+3248</f>
        <v>131789.96892800002</v>
      </c>
      <c r="V202" s="61"/>
      <c r="W202" s="37">
        <f t="shared" si="50"/>
        <v>74.27631191471818</v>
      </c>
      <c r="X202" s="37">
        <f t="shared" si="54"/>
        <v>94.24626577197172</v>
      </c>
    </row>
    <row r="203" spans="1:24" ht="12.75">
      <c r="A203" s="39"/>
      <c r="B203" s="40"/>
      <c r="C203" s="39"/>
      <c r="D203" s="41"/>
      <c r="E203" s="39"/>
      <c r="F203" s="39">
        <v>141</v>
      </c>
      <c r="G203" s="39" t="s">
        <v>60</v>
      </c>
      <c r="H203" s="42">
        <v>116039</v>
      </c>
      <c r="I203" s="42">
        <v>135833</v>
      </c>
      <c r="J203" s="42">
        <f>J205+J206+J207</f>
        <v>159495</v>
      </c>
      <c r="K203" s="42">
        <v>159002</v>
      </c>
      <c r="L203" s="42"/>
      <c r="M203" s="42"/>
      <c r="N203" s="42">
        <v>193296</v>
      </c>
      <c r="O203" s="42"/>
      <c r="P203" s="42"/>
      <c r="Q203" s="42">
        <f>N203+(N203*0.07)+8480+4190</f>
        <v>219496.72</v>
      </c>
      <c r="R203" s="35">
        <f aca="true" t="shared" si="56" ref="R203:R266">Q203/N203*100</f>
        <v>113.55471401374058</v>
      </c>
      <c r="S203" s="42"/>
      <c r="T203" s="47">
        <f aca="true" t="shared" si="57" ref="T203:T209">Q203*1.08</f>
        <v>237056.45760000002</v>
      </c>
      <c r="U203" s="47">
        <f>T203*1.08</f>
        <v>256020.97420800003</v>
      </c>
      <c r="V203" s="61"/>
      <c r="W203" s="37">
        <f t="shared" si="50"/>
        <v>117.41992004888355</v>
      </c>
      <c r="X203" s="37">
        <f t="shared" si="54"/>
        <v>121.19251387190822</v>
      </c>
    </row>
    <row r="204" spans="1:24" ht="12.75">
      <c r="A204" s="39"/>
      <c r="B204" s="40"/>
      <c r="C204" s="39"/>
      <c r="D204" s="41"/>
      <c r="E204" s="39"/>
      <c r="F204" s="39"/>
      <c r="G204" s="53" t="s">
        <v>58</v>
      </c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35" t="e">
        <f t="shared" si="56"/>
        <v>#DIV/0!</v>
      </c>
      <c r="S204" s="42"/>
      <c r="T204" s="47">
        <f t="shared" si="57"/>
        <v>0</v>
      </c>
      <c r="U204" s="47">
        <f t="shared" si="55"/>
        <v>0</v>
      </c>
      <c r="V204" s="61"/>
      <c r="W204" s="37"/>
      <c r="X204" s="37"/>
    </row>
    <row r="205" spans="1:24" ht="12.75">
      <c r="A205" s="39"/>
      <c r="B205" s="40"/>
      <c r="C205" s="39"/>
      <c r="D205" s="41"/>
      <c r="E205" s="39"/>
      <c r="F205" s="39"/>
      <c r="G205" s="53" t="s">
        <v>64</v>
      </c>
      <c r="H205" s="42"/>
      <c r="I205" s="42"/>
      <c r="J205" s="42">
        <v>25032</v>
      </c>
      <c r="K205" s="42"/>
      <c r="L205" s="42"/>
      <c r="M205" s="42"/>
      <c r="N205" s="42"/>
      <c r="O205" s="42"/>
      <c r="P205" s="42"/>
      <c r="Q205" s="42"/>
      <c r="R205" s="35" t="e">
        <f t="shared" si="56"/>
        <v>#DIV/0!</v>
      </c>
      <c r="S205" s="42"/>
      <c r="T205" s="47">
        <f t="shared" si="57"/>
        <v>0</v>
      </c>
      <c r="U205" s="47">
        <f t="shared" si="55"/>
        <v>0</v>
      </c>
      <c r="V205" s="61"/>
      <c r="W205" s="37"/>
      <c r="X205" s="37"/>
    </row>
    <row r="206" spans="1:24" ht="12.75">
      <c r="A206" s="39"/>
      <c r="B206" s="40"/>
      <c r="C206" s="39"/>
      <c r="D206" s="41"/>
      <c r="E206" s="39"/>
      <c r="F206" s="39"/>
      <c r="G206" s="53" t="s">
        <v>65</v>
      </c>
      <c r="H206" s="42"/>
      <c r="I206" s="42"/>
      <c r="J206" s="42">
        <v>27651</v>
      </c>
      <c r="K206" s="42"/>
      <c r="L206" s="42"/>
      <c r="M206" s="42"/>
      <c r="N206" s="42"/>
      <c r="O206" s="42"/>
      <c r="P206" s="42"/>
      <c r="Q206" s="42"/>
      <c r="R206" s="35" t="e">
        <f t="shared" si="56"/>
        <v>#DIV/0!</v>
      </c>
      <c r="S206" s="42"/>
      <c r="T206" s="47">
        <f t="shared" si="57"/>
        <v>0</v>
      </c>
      <c r="U206" s="47">
        <f t="shared" si="55"/>
        <v>0</v>
      </c>
      <c r="V206" s="61"/>
      <c r="W206" s="37"/>
      <c r="X206" s="37"/>
    </row>
    <row r="207" spans="1:24" ht="12.75">
      <c r="A207" s="39"/>
      <c r="B207" s="40"/>
      <c r="C207" s="39"/>
      <c r="D207" s="41"/>
      <c r="E207" s="39"/>
      <c r="F207" s="39"/>
      <c r="G207" s="53" t="s">
        <v>66</v>
      </c>
      <c r="H207" s="42"/>
      <c r="I207" s="42"/>
      <c r="J207" s="42">
        <v>106812</v>
      </c>
      <c r="K207" s="42"/>
      <c r="L207" s="42"/>
      <c r="M207" s="42"/>
      <c r="N207" s="42"/>
      <c r="O207" s="42"/>
      <c r="P207" s="42"/>
      <c r="Q207" s="42"/>
      <c r="R207" s="35" t="e">
        <f t="shared" si="56"/>
        <v>#DIV/0!</v>
      </c>
      <c r="S207" s="42"/>
      <c r="T207" s="47">
        <f t="shared" si="57"/>
        <v>0</v>
      </c>
      <c r="U207" s="47">
        <f t="shared" si="55"/>
        <v>0</v>
      </c>
      <c r="V207" s="61"/>
      <c r="W207" s="37"/>
      <c r="X207" s="37"/>
    </row>
    <row r="208" spans="1:24" ht="12.75">
      <c r="A208" s="39"/>
      <c r="B208" s="40"/>
      <c r="C208" s="39"/>
      <c r="D208" s="41"/>
      <c r="E208" s="39"/>
      <c r="F208" s="39">
        <v>142</v>
      </c>
      <c r="G208" s="39" t="s">
        <v>40</v>
      </c>
      <c r="H208" s="42">
        <v>11485</v>
      </c>
      <c r="I208" s="42">
        <v>16024</v>
      </c>
      <c r="J208" s="42">
        <v>23969</v>
      </c>
      <c r="K208" s="42">
        <v>23973</v>
      </c>
      <c r="L208" s="42"/>
      <c r="M208" s="42"/>
      <c r="N208" s="42">
        <f>J208*1.07</f>
        <v>25646.83</v>
      </c>
      <c r="O208" s="42"/>
      <c r="P208" s="42"/>
      <c r="Q208" s="42">
        <f>N208+(N208*0.07)+913+436</f>
        <v>28791.1081</v>
      </c>
      <c r="R208" s="35">
        <f t="shared" si="56"/>
        <v>112.25990931432852</v>
      </c>
      <c r="S208" s="42"/>
      <c r="T208" s="47">
        <f t="shared" si="57"/>
        <v>31094.396748000003</v>
      </c>
      <c r="U208" s="47">
        <f>T208*1.08</f>
        <v>33581.94848784</v>
      </c>
      <c r="V208" s="61"/>
      <c r="W208" s="37">
        <f>J208/I208*100</f>
        <v>149.58187718422366</v>
      </c>
      <c r="X208" s="37">
        <f>N208/J208*100</f>
        <v>107</v>
      </c>
    </row>
    <row r="209" spans="1:24" ht="12.75">
      <c r="A209" s="39"/>
      <c r="B209" s="40"/>
      <c r="C209" s="39"/>
      <c r="D209" s="41"/>
      <c r="E209" s="39"/>
      <c r="F209" s="39">
        <v>143</v>
      </c>
      <c r="G209" s="39" t="s">
        <v>41</v>
      </c>
      <c r="H209" s="42">
        <v>366</v>
      </c>
      <c r="I209" s="42">
        <f>H209+(H209*0.08)</f>
        <v>395.28</v>
      </c>
      <c r="J209" s="42">
        <v>425</v>
      </c>
      <c r="K209" s="42">
        <v>590</v>
      </c>
      <c r="L209" s="42"/>
      <c r="M209" s="42"/>
      <c r="N209" s="42">
        <f>J209*1.07</f>
        <v>454.75</v>
      </c>
      <c r="O209" s="42"/>
      <c r="P209" s="42"/>
      <c r="Q209" s="42">
        <f>N209+(N209*0.07)+150+71</f>
        <v>707.5825</v>
      </c>
      <c r="R209" s="35">
        <f t="shared" si="56"/>
        <v>155.59813084112147</v>
      </c>
      <c r="S209" s="42"/>
      <c r="T209" s="47">
        <f t="shared" si="57"/>
        <v>764.1891</v>
      </c>
      <c r="U209" s="47">
        <f>T209*1.08</f>
        <v>825.3242280000001</v>
      </c>
      <c r="V209" s="61"/>
      <c r="W209" s="37">
        <f>J209/I209*100</f>
        <v>107.51872090669904</v>
      </c>
      <c r="X209" s="37">
        <f>N209/J209*100</f>
        <v>107</v>
      </c>
    </row>
    <row r="210" spans="1:25" ht="102">
      <c r="A210" s="39"/>
      <c r="B210" s="40"/>
      <c r="C210" s="39"/>
      <c r="D210" s="41"/>
      <c r="E210" s="39"/>
      <c r="F210" s="39">
        <v>149</v>
      </c>
      <c r="G210" s="39" t="s">
        <v>43</v>
      </c>
      <c r="H210" s="42">
        <v>115252</v>
      </c>
      <c r="I210" s="42">
        <v>214234</v>
      </c>
      <c r="J210" s="42">
        <v>353570</v>
      </c>
      <c r="K210" s="42">
        <v>361057</v>
      </c>
      <c r="L210" s="42"/>
      <c r="M210" s="42"/>
      <c r="N210" s="42">
        <f>337452+4001</f>
        <v>341453</v>
      </c>
      <c r="O210" s="42"/>
      <c r="P210" s="42"/>
      <c r="Q210" s="42">
        <f>359308+546+11425-20000+15150+9957</f>
        <v>376386</v>
      </c>
      <c r="R210" s="35">
        <f t="shared" si="56"/>
        <v>110.23069060749211</v>
      </c>
      <c r="S210" s="42"/>
      <c r="T210" s="47">
        <f>384544+590+778+135000+18763+13320</f>
        <v>552995</v>
      </c>
      <c r="U210" s="47">
        <f>411798+1173+135000+18763+13320</f>
        <v>580054</v>
      </c>
      <c r="V210" s="46" t="s">
        <v>125</v>
      </c>
      <c r="W210" s="37">
        <f>J210/I210*100</f>
        <v>165.0391627846187</v>
      </c>
      <c r="X210" s="37">
        <f>N210/J210*100</f>
        <v>96.57295585032666</v>
      </c>
      <c r="Y210" s="62">
        <v>-25000</v>
      </c>
    </row>
    <row r="211" spans="1:24" ht="25.5">
      <c r="A211" s="39"/>
      <c r="B211" s="40"/>
      <c r="C211" s="39"/>
      <c r="D211" s="41"/>
      <c r="E211" s="39"/>
      <c r="F211" s="39"/>
      <c r="G211" s="51" t="s">
        <v>126</v>
      </c>
      <c r="H211" s="42"/>
      <c r="I211" s="42">
        <f>SUM(I212:I222)</f>
        <v>37849.546</v>
      </c>
      <c r="J211" s="42">
        <f>J212+J213+J214+J215+J216+J221+J222</f>
        <v>48317.295</v>
      </c>
      <c r="K211" s="42"/>
      <c r="L211" s="42"/>
      <c r="M211" s="42"/>
      <c r="N211" s="42">
        <f>N212+N213+N214+N215+N216+N221+N222</f>
        <v>45391.254</v>
      </c>
      <c r="O211" s="42"/>
      <c r="P211" s="42"/>
      <c r="Q211" s="42">
        <f>Q212+Q213+Q214+Q215+Q216+Q221+Q222</f>
        <v>45498.284</v>
      </c>
      <c r="R211" s="35">
        <f t="shared" si="56"/>
        <v>100.23579432284467</v>
      </c>
      <c r="S211" s="42"/>
      <c r="T211" s="42">
        <f>T212+T213+T214+T215+T216+T221+T222</f>
        <v>45629.1664</v>
      </c>
      <c r="U211" s="42">
        <f>U212+U213+U214+U215+U216+U221+U222</f>
        <v>45770.519392</v>
      </c>
      <c r="V211" s="46"/>
      <c r="W211" s="37"/>
      <c r="X211" s="37"/>
    </row>
    <row r="212" spans="1:24" ht="12.75">
      <c r="A212" s="39"/>
      <c r="B212" s="40"/>
      <c r="C212" s="39"/>
      <c r="D212" s="41"/>
      <c r="E212" s="39"/>
      <c r="F212" s="39">
        <v>111</v>
      </c>
      <c r="G212" s="39" t="s">
        <v>33</v>
      </c>
      <c r="H212" s="42"/>
      <c r="I212" s="42">
        <v>30854</v>
      </c>
      <c r="J212" s="42">
        <v>40255</v>
      </c>
      <c r="K212" s="42"/>
      <c r="L212" s="42"/>
      <c r="M212" s="42"/>
      <c r="N212" s="42">
        <v>38346</v>
      </c>
      <c r="O212" s="42">
        <v>38346</v>
      </c>
      <c r="P212" s="42"/>
      <c r="Q212" s="42">
        <v>38346</v>
      </c>
      <c r="R212" s="35">
        <f t="shared" si="56"/>
        <v>100</v>
      </c>
      <c r="S212" s="42"/>
      <c r="T212" s="42">
        <v>38346</v>
      </c>
      <c r="U212" s="42">
        <v>38346</v>
      </c>
      <c r="V212" s="46"/>
      <c r="W212" s="37"/>
      <c r="X212" s="37"/>
    </row>
    <row r="213" spans="1:24" ht="12.75">
      <c r="A213" s="39"/>
      <c r="B213" s="40"/>
      <c r="C213" s="39"/>
      <c r="D213" s="41"/>
      <c r="E213" s="39"/>
      <c r="F213" s="39">
        <v>113</v>
      </c>
      <c r="G213" s="39" t="s">
        <v>35</v>
      </c>
      <c r="H213" s="42"/>
      <c r="I213" s="42">
        <v>1820</v>
      </c>
      <c r="J213" s="42">
        <v>2630</v>
      </c>
      <c r="K213" s="42"/>
      <c r="L213" s="42"/>
      <c r="M213" s="42"/>
      <c r="N213" s="42">
        <v>1720</v>
      </c>
      <c r="O213" s="42">
        <v>1720</v>
      </c>
      <c r="P213" s="42"/>
      <c r="Q213" s="42">
        <v>1720</v>
      </c>
      <c r="R213" s="35">
        <f t="shared" si="56"/>
        <v>100</v>
      </c>
      <c r="S213" s="42"/>
      <c r="T213" s="42">
        <v>1720</v>
      </c>
      <c r="U213" s="42">
        <v>1720</v>
      </c>
      <c r="V213" s="46"/>
      <c r="W213" s="37"/>
      <c r="X213" s="37"/>
    </row>
    <row r="214" spans="1:24" ht="12.75">
      <c r="A214" s="39"/>
      <c r="B214" s="40"/>
      <c r="C214" s="39"/>
      <c r="D214" s="41"/>
      <c r="E214" s="39"/>
      <c r="F214" s="39">
        <v>121</v>
      </c>
      <c r="G214" s="39" t="s">
        <v>36</v>
      </c>
      <c r="H214" s="42"/>
      <c r="I214" s="42">
        <f>(I212-(I212*0.1))*0.06</f>
        <v>1666.1159999999998</v>
      </c>
      <c r="J214" s="42">
        <f>(J212-(J212*0.1))*0.06</f>
        <v>2173.77</v>
      </c>
      <c r="K214" s="42"/>
      <c r="L214" s="42"/>
      <c r="M214" s="42"/>
      <c r="N214" s="42">
        <f>(N212-(N212*0.1))*0.06</f>
        <v>2070.684</v>
      </c>
      <c r="O214" s="42"/>
      <c r="P214" s="42"/>
      <c r="Q214" s="42">
        <f>(Q212-(Q212*0.1))*0.06</f>
        <v>2070.684</v>
      </c>
      <c r="R214" s="35">
        <f t="shared" si="56"/>
        <v>100</v>
      </c>
      <c r="S214" s="42"/>
      <c r="T214" s="42">
        <f>(T212-(T212*0.1))*0.06</f>
        <v>2070.684</v>
      </c>
      <c r="U214" s="42">
        <f>(U212-(U212*0.1))*0.06</f>
        <v>2070.684</v>
      </c>
      <c r="V214" s="46"/>
      <c r="W214" s="37"/>
      <c r="X214" s="37"/>
    </row>
    <row r="215" spans="1:24" ht="25.5">
      <c r="A215" s="39"/>
      <c r="B215" s="40"/>
      <c r="C215" s="39"/>
      <c r="D215" s="41"/>
      <c r="E215" s="39"/>
      <c r="F215" s="39">
        <v>122</v>
      </c>
      <c r="G215" s="39" t="s">
        <v>37</v>
      </c>
      <c r="H215" s="42"/>
      <c r="I215" s="42">
        <f>(I212-(I212*0.1))*0.05</f>
        <v>1388.43</v>
      </c>
      <c r="J215" s="42">
        <f>(J212-(J212*0.1))*0.05</f>
        <v>1811.4750000000001</v>
      </c>
      <c r="K215" s="42"/>
      <c r="L215" s="42"/>
      <c r="M215" s="42"/>
      <c r="N215" s="42">
        <f>(N212-(N212*0.1))*0.05</f>
        <v>1725.5700000000002</v>
      </c>
      <c r="O215" s="42"/>
      <c r="P215" s="42"/>
      <c r="Q215" s="42">
        <f>(Q212-(Q212*0.1))*0.05</f>
        <v>1725.5700000000002</v>
      </c>
      <c r="R215" s="35">
        <f t="shared" si="56"/>
        <v>100</v>
      </c>
      <c r="S215" s="42"/>
      <c r="T215" s="42">
        <f>(T212-(T212*0.1))*0.05</f>
        <v>1725.5700000000002</v>
      </c>
      <c r="U215" s="42">
        <f>(U212-(U212*0.1))*0.05</f>
        <v>1725.5700000000002</v>
      </c>
      <c r="V215" s="46"/>
      <c r="W215" s="37"/>
      <c r="X215" s="37"/>
    </row>
    <row r="216" spans="1:24" ht="12.75">
      <c r="A216" s="39"/>
      <c r="B216" s="40"/>
      <c r="C216" s="39"/>
      <c r="D216" s="41"/>
      <c r="E216" s="39"/>
      <c r="F216" s="39">
        <v>141</v>
      </c>
      <c r="G216" s="39" t="s">
        <v>60</v>
      </c>
      <c r="H216" s="42"/>
      <c r="I216" s="42">
        <v>1081</v>
      </c>
      <c r="J216" s="42">
        <f>J218+J219+J220</f>
        <v>1162</v>
      </c>
      <c r="K216" s="42"/>
      <c r="L216" s="42"/>
      <c r="M216" s="42"/>
      <c r="N216" s="42">
        <v>1455</v>
      </c>
      <c r="O216" s="42"/>
      <c r="P216" s="42"/>
      <c r="Q216" s="42">
        <f>N216*1.07</f>
        <v>1556.8500000000001</v>
      </c>
      <c r="R216" s="35">
        <f t="shared" si="56"/>
        <v>107</v>
      </c>
      <c r="S216" s="42"/>
      <c r="T216" s="47">
        <f aca="true" t="shared" si="58" ref="T216:T223">Q216*1.08</f>
        <v>1681.3980000000004</v>
      </c>
      <c r="U216" s="47">
        <f>T216*1.08</f>
        <v>1815.9098400000005</v>
      </c>
      <c r="V216" s="46"/>
      <c r="W216" s="37"/>
      <c r="X216" s="37"/>
    </row>
    <row r="217" spans="1:24" ht="12.75">
      <c r="A217" s="39"/>
      <c r="B217" s="40"/>
      <c r="C217" s="39"/>
      <c r="D217" s="41"/>
      <c r="E217" s="39"/>
      <c r="F217" s="39"/>
      <c r="G217" s="53" t="s">
        <v>58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35" t="e">
        <f t="shared" si="56"/>
        <v>#DIV/0!</v>
      </c>
      <c r="S217" s="42"/>
      <c r="T217" s="47">
        <f t="shared" si="58"/>
        <v>0</v>
      </c>
      <c r="U217" s="47">
        <f aca="true" t="shared" si="59" ref="U217:U223">T217*1.08</f>
        <v>0</v>
      </c>
      <c r="V217" s="46"/>
      <c r="W217" s="37"/>
      <c r="X217" s="37"/>
    </row>
    <row r="218" spans="1:24" ht="12.75">
      <c r="A218" s="39"/>
      <c r="B218" s="40"/>
      <c r="C218" s="39"/>
      <c r="D218" s="41"/>
      <c r="E218" s="39"/>
      <c r="F218" s="39"/>
      <c r="G218" s="53" t="s">
        <v>64</v>
      </c>
      <c r="H218" s="42"/>
      <c r="I218" s="42"/>
      <c r="J218" s="42">
        <v>50</v>
      </c>
      <c r="K218" s="42"/>
      <c r="L218" s="42"/>
      <c r="M218" s="42"/>
      <c r="N218" s="42"/>
      <c r="O218" s="42"/>
      <c r="P218" s="42"/>
      <c r="Q218" s="42"/>
      <c r="R218" s="35" t="e">
        <f t="shared" si="56"/>
        <v>#DIV/0!</v>
      </c>
      <c r="S218" s="42"/>
      <c r="T218" s="47">
        <f t="shared" si="58"/>
        <v>0</v>
      </c>
      <c r="U218" s="47">
        <f t="shared" si="59"/>
        <v>0</v>
      </c>
      <c r="V218" s="46"/>
      <c r="W218" s="37"/>
      <c r="X218" s="37"/>
    </row>
    <row r="219" spans="1:24" ht="12.75">
      <c r="A219" s="39"/>
      <c r="B219" s="40"/>
      <c r="C219" s="39"/>
      <c r="D219" s="41"/>
      <c r="E219" s="39"/>
      <c r="F219" s="39"/>
      <c r="G219" s="53" t="s">
        <v>65</v>
      </c>
      <c r="H219" s="42"/>
      <c r="I219" s="42"/>
      <c r="J219" s="42">
        <v>125</v>
      </c>
      <c r="K219" s="42"/>
      <c r="L219" s="42"/>
      <c r="M219" s="42"/>
      <c r="N219" s="42"/>
      <c r="O219" s="42"/>
      <c r="P219" s="42"/>
      <c r="Q219" s="42"/>
      <c r="R219" s="35" t="e">
        <f t="shared" si="56"/>
        <v>#DIV/0!</v>
      </c>
      <c r="S219" s="42"/>
      <c r="T219" s="47">
        <f t="shared" si="58"/>
        <v>0</v>
      </c>
      <c r="U219" s="47">
        <f t="shared" si="59"/>
        <v>0</v>
      </c>
      <c r="V219" s="46"/>
      <c r="W219" s="37"/>
      <c r="X219" s="37"/>
    </row>
    <row r="220" spans="1:24" ht="12.75">
      <c r="A220" s="39"/>
      <c r="B220" s="40"/>
      <c r="C220" s="39"/>
      <c r="D220" s="41"/>
      <c r="E220" s="39"/>
      <c r="F220" s="39"/>
      <c r="G220" s="53" t="s">
        <v>66</v>
      </c>
      <c r="H220" s="42"/>
      <c r="I220" s="42"/>
      <c r="J220" s="42">
        <v>987</v>
      </c>
      <c r="K220" s="42"/>
      <c r="L220" s="42"/>
      <c r="M220" s="42"/>
      <c r="N220" s="42"/>
      <c r="O220" s="42"/>
      <c r="P220" s="42"/>
      <c r="Q220" s="42"/>
      <c r="R220" s="35" t="e">
        <f t="shared" si="56"/>
        <v>#DIV/0!</v>
      </c>
      <c r="S220" s="42"/>
      <c r="T220" s="47">
        <f t="shared" si="58"/>
        <v>0</v>
      </c>
      <c r="U220" s="47">
        <f t="shared" si="59"/>
        <v>0</v>
      </c>
      <c r="V220" s="46"/>
      <c r="W220" s="37"/>
      <c r="X220" s="37"/>
    </row>
    <row r="221" spans="1:24" ht="12.75">
      <c r="A221" s="39"/>
      <c r="B221" s="40"/>
      <c r="C221" s="39"/>
      <c r="D221" s="41"/>
      <c r="E221" s="39"/>
      <c r="F221" s="39">
        <v>142</v>
      </c>
      <c r="G221" s="39" t="s">
        <v>40</v>
      </c>
      <c r="H221" s="42"/>
      <c r="I221" s="42">
        <v>15</v>
      </c>
      <c r="J221" s="42">
        <f>I221*1.07</f>
        <v>16.05</v>
      </c>
      <c r="K221" s="42"/>
      <c r="L221" s="42"/>
      <c r="M221" s="42"/>
      <c r="N221" s="42">
        <v>14</v>
      </c>
      <c r="O221" s="42"/>
      <c r="P221" s="42"/>
      <c r="Q221" s="42">
        <f>N221*1.07</f>
        <v>14.98</v>
      </c>
      <c r="R221" s="35">
        <f t="shared" si="56"/>
        <v>107</v>
      </c>
      <c r="S221" s="42"/>
      <c r="T221" s="47">
        <f t="shared" si="58"/>
        <v>16.1784</v>
      </c>
      <c r="U221" s="47">
        <f t="shared" si="59"/>
        <v>17.472672</v>
      </c>
      <c r="V221" s="46"/>
      <c r="W221" s="37"/>
      <c r="X221" s="37"/>
    </row>
    <row r="222" spans="1:24" ht="12.75">
      <c r="A222" s="39"/>
      <c r="B222" s="40"/>
      <c r="C222" s="39"/>
      <c r="D222" s="41"/>
      <c r="E222" s="39"/>
      <c r="F222" s="39">
        <v>149</v>
      </c>
      <c r="G222" s="39" t="s">
        <v>43</v>
      </c>
      <c r="H222" s="42"/>
      <c r="I222" s="42">
        <v>1025</v>
      </c>
      <c r="J222" s="42">
        <v>269</v>
      </c>
      <c r="K222" s="42"/>
      <c r="L222" s="42"/>
      <c r="M222" s="42"/>
      <c r="N222" s="42">
        <v>60</v>
      </c>
      <c r="O222" s="42"/>
      <c r="P222" s="42"/>
      <c r="Q222" s="42">
        <f>N222*1.07</f>
        <v>64.2</v>
      </c>
      <c r="R222" s="35">
        <f t="shared" si="56"/>
        <v>107</v>
      </c>
      <c r="S222" s="42"/>
      <c r="T222" s="47">
        <f t="shared" si="58"/>
        <v>69.33600000000001</v>
      </c>
      <c r="U222" s="47">
        <f t="shared" si="59"/>
        <v>74.88288000000001</v>
      </c>
      <c r="V222" s="46"/>
      <c r="W222" s="37"/>
      <c r="X222" s="37"/>
    </row>
    <row r="223" spans="1:24" ht="12.75">
      <c r="A223" s="39"/>
      <c r="B223" s="40"/>
      <c r="C223" s="39"/>
      <c r="D223" s="41"/>
      <c r="E223" s="39"/>
      <c r="F223" s="39">
        <v>151</v>
      </c>
      <c r="G223" s="39"/>
      <c r="H223" s="42"/>
      <c r="I223" s="42"/>
      <c r="J223" s="42"/>
      <c r="K223" s="42">
        <v>2619</v>
      </c>
      <c r="L223" s="42"/>
      <c r="M223" s="42"/>
      <c r="N223" s="42"/>
      <c r="O223" s="42"/>
      <c r="P223" s="42"/>
      <c r="Q223" s="42">
        <f>N223*1.07</f>
        <v>0</v>
      </c>
      <c r="R223" s="35" t="e">
        <f t="shared" si="56"/>
        <v>#DIV/0!</v>
      </c>
      <c r="S223" s="42"/>
      <c r="T223" s="47">
        <f t="shared" si="58"/>
        <v>0</v>
      </c>
      <c r="U223" s="47">
        <f t="shared" si="59"/>
        <v>0</v>
      </c>
      <c r="V223" s="46"/>
      <c r="W223" s="37"/>
      <c r="X223" s="37"/>
    </row>
    <row r="224" spans="1:24" ht="38.25">
      <c r="A224" s="39"/>
      <c r="B224" s="40"/>
      <c r="C224" s="39"/>
      <c r="D224" s="41"/>
      <c r="E224" s="39"/>
      <c r="F224" s="39">
        <v>153</v>
      </c>
      <c r="G224" s="39" t="s">
        <v>127</v>
      </c>
      <c r="H224" s="42">
        <v>42918</v>
      </c>
      <c r="I224" s="42">
        <v>92851</v>
      </c>
      <c r="J224" s="42">
        <v>99804</v>
      </c>
      <c r="K224" s="42">
        <v>99824</v>
      </c>
      <c r="L224" s="42"/>
      <c r="M224" s="42"/>
      <c r="N224" s="42">
        <v>98542</v>
      </c>
      <c r="O224" s="42">
        <v>97373</v>
      </c>
      <c r="P224" s="42"/>
      <c r="Q224" s="42">
        <f>N224*1.07+2898+1200</f>
        <v>109537.94</v>
      </c>
      <c r="R224" s="35">
        <f t="shared" si="56"/>
        <v>111.15863286720385</v>
      </c>
      <c r="S224" s="42"/>
      <c r="T224" s="47">
        <f>Q224*1.06</f>
        <v>116110.2164</v>
      </c>
      <c r="U224" s="47">
        <f>T224*1.06</f>
        <v>123076.82938400001</v>
      </c>
      <c r="V224" s="48" t="s">
        <v>128</v>
      </c>
      <c r="W224" s="37">
        <f aca="true" t="shared" si="60" ref="W224:W243">J224/I224*100</f>
        <v>107.48834153644012</v>
      </c>
      <c r="X224" s="37">
        <f>N224/J224*100</f>
        <v>98.73552162237986</v>
      </c>
    </row>
    <row r="225" spans="1:24" ht="12.75">
      <c r="A225" s="39"/>
      <c r="B225" s="40"/>
      <c r="C225" s="39"/>
      <c r="D225" s="41"/>
      <c r="E225" s="39"/>
      <c r="F225" s="39">
        <v>159</v>
      </c>
      <c r="G225" s="39" t="s">
        <v>46</v>
      </c>
      <c r="H225" s="42">
        <v>1953</v>
      </c>
      <c r="I225" s="42">
        <v>2108</v>
      </c>
      <c r="J225" s="42">
        <v>2158</v>
      </c>
      <c r="K225" s="42">
        <v>2452</v>
      </c>
      <c r="L225" s="42"/>
      <c r="M225" s="42"/>
      <c r="N225" s="42">
        <f>J225+(J225*0.07)</f>
        <v>2309.06</v>
      </c>
      <c r="O225" s="42"/>
      <c r="P225" s="42"/>
      <c r="Q225" s="42">
        <f>N225+(N225*0.07)+100+90</f>
        <v>2660.6942</v>
      </c>
      <c r="R225" s="35">
        <f t="shared" si="56"/>
        <v>115.22845660138759</v>
      </c>
      <c r="S225" s="42"/>
      <c r="T225" s="47">
        <f>Q225*1.07</f>
        <v>2846.942794</v>
      </c>
      <c r="U225" s="47">
        <f>T225*1.07</f>
        <v>3046.22878958</v>
      </c>
      <c r="V225" s="46"/>
      <c r="W225" s="37">
        <f t="shared" si="60"/>
        <v>102.3719165085389</v>
      </c>
      <c r="X225" s="37">
        <f>N225/J225*100</f>
        <v>107</v>
      </c>
    </row>
    <row r="226" spans="1:24" ht="12.75">
      <c r="A226" s="39"/>
      <c r="B226" s="40"/>
      <c r="C226" s="39"/>
      <c r="D226" s="41"/>
      <c r="E226" s="39"/>
      <c r="F226" s="39">
        <v>332</v>
      </c>
      <c r="G226" s="39" t="s">
        <v>112</v>
      </c>
      <c r="H226" s="42">
        <v>194</v>
      </c>
      <c r="I226" s="42">
        <v>374</v>
      </c>
      <c r="J226" s="42">
        <v>402</v>
      </c>
      <c r="K226" s="42">
        <v>402</v>
      </c>
      <c r="L226" s="42"/>
      <c r="M226" s="42"/>
      <c r="N226" s="42">
        <f>J226+(J226*0.07)</f>
        <v>430.14</v>
      </c>
      <c r="O226" s="42"/>
      <c r="P226" s="42"/>
      <c r="Q226" s="42">
        <f>N226+(N226*0.07)</f>
        <v>460.2498</v>
      </c>
      <c r="R226" s="35">
        <f t="shared" si="56"/>
        <v>107</v>
      </c>
      <c r="S226" s="42"/>
      <c r="T226" s="47">
        <f>Q226*1.07</f>
        <v>492.467286</v>
      </c>
      <c r="U226" s="47">
        <f>T226*1.07</f>
        <v>526.9399960200001</v>
      </c>
      <c r="V226" s="46"/>
      <c r="W226" s="37">
        <f t="shared" si="60"/>
        <v>107.4866310160428</v>
      </c>
      <c r="X226" s="37">
        <f>N226/J226*100</f>
        <v>107</v>
      </c>
    </row>
    <row r="227" spans="1:24" ht="25.5">
      <c r="A227" s="39"/>
      <c r="B227" s="40"/>
      <c r="C227" s="39"/>
      <c r="D227" s="41"/>
      <c r="E227" s="39"/>
      <c r="F227" s="39">
        <v>411</v>
      </c>
      <c r="G227" s="39" t="s">
        <v>49</v>
      </c>
      <c r="H227" s="42"/>
      <c r="I227" s="42">
        <v>22330</v>
      </c>
      <c r="J227" s="42">
        <v>3241</v>
      </c>
      <c r="K227" s="42">
        <v>44824</v>
      </c>
      <c r="L227" s="42"/>
      <c r="M227" s="42"/>
      <c r="N227" s="42"/>
      <c r="O227" s="42"/>
      <c r="P227" s="42"/>
      <c r="Q227" s="42"/>
      <c r="R227" s="35" t="e">
        <f t="shared" si="56"/>
        <v>#DIV/0!</v>
      </c>
      <c r="S227" s="42"/>
      <c r="T227" s="47"/>
      <c r="U227" s="35"/>
      <c r="V227" s="48"/>
      <c r="W227" s="37">
        <f t="shared" si="60"/>
        <v>14.5141065830721</v>
      </c>
      <c r="X227" s="37">
        <f>N227/J227*100</f>
        <v>0</v>
      </c>
    </row>
    <row r="228" spans="1:24" ht="38.25">
      <c r="A228" s="39"/>
      <c r="B228" s="40"/>
      <c r="C228" s="39"/>
      <c r="D228" s="41"/>
      <c r="E228" s="39"/>
      <c r="F228" s="39">
        <v>431</v>
      </c>
      <c r="G228" s="39" t="s">
        <v>113</v>
      </c>
      <c r="H228" s="42"/>
      <c r="I228" s="42"/>
      <c r="J228" s="42"/>
      <c r="K228" s="42">
        <v>900</v>
      </c>
      <c r="L228" s="42"/>
      <c r="M228" s="42"/>
      <c r="N228" s="42">
        <v>2000</v>
      </c>
      <c r="O228" s="42"/>
      <c r="P228" s="42"/>
      <c r="Q228" s="42"/>
      <c r="R228" s="35">
        <f t="shared" si="56"/>
        <v>0</v>
      </c>
      <c r="S228" s="42"/>
      <c r="T228" s="47">
        <v>450000</v>
      </c>
      <c r="U228" s="35">
        <v>450000</v>
      </c>
      <c r="V228" s="48" t="s">
        <v>129</v>
      </c>
      <c r="W228" s="37"/>
      <c r="X228" s="37"/>
    </row>
    <row r="229" spans="1:24" ht="12.75">
      <c r="A229" s="39"/>
      <c r="B229" s="40"/>
      <c r="C229" s="39"/>
      <c r="D229" s="41"/>
      <c r="E229" s="39"/>
      <c r="F229" s="39">
        <v>452</v>
      </c>
      <c r="G229" s="39" t="s">
        <v>50</v>
      </c>
      <c r="H229" s="42">
        <v>128000</v>
      </c>
      <c r="I229" s="42"/>
      <c r="J229" s="42">
        <v>46</v>
      </c>
      <c r="K229" s="42">
        <v>131</v>
      </c>
      <c r="L229" s="42"/>
      <c r="M229" s="42"/>
      <c r="N229" s="42"/>
      <c r="O229" s="42"/>
      <c r="P229" s="42"/>
      <c r="Q229" s="42"/>
      <c r="R229" s="35" t="e">
        <f t="shared" si="56"/>
        <v>#DIV/0!</v>
      </c>
      <c r="S229" s="42"/>
      <c r="T229" s="47"/>
      <c r="U229" s="35"/>
      <c r="V229" s="48"/>
      <c r="W229" s="37" t="e">
        <f t="shared" si="60"/>
        <v>#DIV/0!</v>
      </c>
      <c r="X229" s="37">
        <f aca="true" t="shared" si="61" ref="X229:X243">N229/J229*100</f>
        <v>0</v>
      </c>
    </row>
    <row r="230" spans="1:24" ht="51">
      <c r="A230" s="39"/>
      <c r="B230" s="40"/>
      <c r="C230" s="39"/>
      <c r="D230" s="41">
        <v>63</v>
      </c>
      <c r="E230" s="39"/>
      <c r="F230" s="39"/>
      <c r="G230" s="63" t="s">
        <v>130</v>
      </c>
      <c r="H230" s="42"/>
      <c r="I230" s="42"/>
      <c r="J230" s="42"/>
      <c r="K230" s="42"/>
      <c r="L230" s="42"/>
      <c r="M230" s="42"/>
      <c r="N230" s="42">
        <f>N231</f>
        <v>0</v>
      </c>
      <c r="O230" s="42"/>
      <c r="P230" s="42"/>
      <c r="Q230" s="42"/>
      <c r="R230" s="35" t="e">
        <f t="shared" si="56"/>
        <v>#DIV/0!</v>
      </c>
      <c r="S230" s="42"/>
      <c r="T230" s="47"/>
      <c r="U230" s="35"/>
      <c r="V230" s="48"/>
      <c r="W230" s="37"/>
      <c r="X230" s="37"/>
    </row>
    <row r="231" spans="1:24" ht="12.75">
      <c r="A231" s="39"/>
      <c r="B231" s="40"/>
      <c r="C231" s="39"/>
      <c r="D231" s="41"/>
      <c r="E231" s="39"/>
      <c r="F231" s="39">
        <v>111</v>
      </c>
      <c r="G231" s="39" t="s">
        <v>33</v>
      </c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35" t="e">
        <f t="shared" si="56"/>
        <v>#DIV/0!</v>
      </c>
      <c r="S231" s="42"/>
      <c r="T231" s="47"/>
      <c r="U231" s="35"/>
      <c r="V231" s="48"/>
      <c r="W231" s="37"/>
      <c r="X231" s="37"/>
    </row>
    <row r="232" spans="1:24" ht="51">
      <c r="A232" s="39"/>
      <c r="B232" s="40"/>
      <c r="C232" s="39"/>
      <c r="D232" s="41">
        <v>64</v>
      </c>
      <c r="E232" s="39"/>
      <c r="F232" s="39"/>
      <c r="G232" s="64" t="s">
        <v>131</v>
      </c>
      <c r="H232" s="42"/>
      <c r="I232" s="42"/>
      <c r="J232" s="42"/>
      <c r="K232" s="42"/>
      <c r="L232" s="42"/>
      <c r="M232" s="42"/>
      <c r="N232" s="42">
        <f>SUM(N233:N236)</f>
        <v>0</v>
      </c>
      <c r="O232" s="42"/>
      <c r="P232" s="42"/>
      <c r="Q232" s="42"/>
      <c r="R232" s="35" t="e">
        <f t="shared" si="56"/>
        <v>#DIV/0!</v>
      </c>
      <c r="S232" s="42"/>
      <c r="T232" s="47"/>
      <c r="U232" s="47"/>
      <c r="V232" s="48"/>
      <c r="W232" s="37"/>
      <c r="X232" s="37"/>
    </row>
    <row r="233" spans="1:24" ht="12.75">
      <c r="A233" s="39"/>
      <c r="B233" s="40"/>
      <c r="C233" s="39"/>
      <c r="D233" s="41"/>
      <c r="E233" s="39"/>
      <c r="F233" s="65">
        <v>111</v>
      </c>
      <c r="G233" s="39" t="s">
        <v>33</v>
      </c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35" t="e">
        <f t="shared" si="56"/>
        <v>#DIV/0!</v>
      </c>
      <c r="S233" s="42"/>
      <c r="T233" s="47"/>
      <c r="U233" s="35"/>
      <c r="V233" s="48"/>
      <c r="W233" s="37"/>
      <c r="X233" s="37"/>
    </row>
    <row r="234" spans="1:24" ht="12.75">
      <c r="A234" s="39"/>
      <c r="B234" s="40"/>
      <c r="C234" s="39"/>
      <c r="D234" s="41"/>
      <c r="E234" s="39"/>
      <c r="F234" s="39">
        <v>121</v>
      </c>
      <c r="G234" s="39" t="s">
        <v>36</v>
      </c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35" t="e">
        <f t="shared" si="56"/>
        <v>#DIV/0!</v>
      </c>
      <c r="S234" s="42"/>
      <c r="T234" s="47"/>
      <c r="U234" s="35"/>
      <c r="V234" s="48"/>
      <c r="W234" s="37"/>
      <c r="X234" s="37"/>
    </row>
    <row r="235" spans="1:24" ht="25.5">
      <c r="A235" s="39"/>
      <c r="B235" s="40"/>
      <c r="C235" s="39"/>
      <c r="D235" s="41"/>
      <c r="E235" s="39"/>
      <c r="F235" s="39">
        <v>122</v>
      </c>
      <c r="G235" s="39" t="s">
        <v>37</v>
      </c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35" t="e">
        <f t="shared" si="56"/>
        <v>#DIV/0!</v>
      </c>
      <c r="S235" s="42"/>
      <c r="T235" s="47"/>
      <c r="U235" s="35"/>
      <c r="V235" s="48"/>
      <c r="W235" s="37"/>
      <c r="X235" s="37"/>
    </row>
    <row r="236" spans="1:24" ht="12.75">
      <c r="A236" s="39"/>
      <c r="B236" s="40"/>
      <c r="C236" s="39"/>
      <c r="D236" s="41"/>
      <c r="E236" s="39"/>
      <c r="F236" s="39">
        <v>149</v>
      </c>
      <c r="G236" s="39" t="s">
        <v>43</v>
      </c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35" t="e">
        <f t="shared" si="56"/>
        <v>#DIV/0!</v>
      </c>
      <c r="S236" s="42"/>
      <c r="T236" s="47"/>
      <c r="U236" s="35"/>
      <c r="V236" s="48"/>
      <c r="W236" s="37"/>
      <c r="X236" s="37"/>
    </row>
    <row r="237" spans="1:24" ht="12.75">
      <c r="A237" s="39"/>
      <c r="B237" s="40"/>
      <c r="C237" s="39"/>
      <c r="D237" s="41">
        <v>6</v>
      </c>
      <c r="E237" s="39" t="s">
        <v>67</v>
      </c>
      <c r="F237" s="39"/>
      <c r="G237" s="45" t="s">
        <v>132</v>
      </c>
      <c r="H237" s="42">
        <f aca="true" t="shared" si="62" ref="H237:N237">H238</f>
        <v>249223</v>
      </c>
      <c r="I237" s="42">
        <f t="shared" si="62"/>
        <v>300410.627</v>
      </c>
      <c r="J237" s="42">
        <f t="shared" si="62"/>
        <v>357969.17</v>
      </c>
      <c r="K237" s="42"/>
      <c r="L237" s="42">
        <v>404424</v>
      </c>
      <c r="M237" s="42">
        <v>404547</v>
      </c>
      <c r="N237" s="42">
        <f t="shared" si="62"/>
        <v>409546.976</v>
      </c>
      <c r="O237" s="42"/>
      <c r="P237" s="42"/>
      <c r="Q237" s="42">
        <f>Q238+5000+2255</f>
        <v>418580.676</v>
      </c>
      <c r="R237" s="35">
        <f t="shared" si="56"/>
        <v>102.20577870900942</v>
      </c>
      <c r="S237" s="42"/>
      <c r="T237" s="42">
        <f>T238+5000</f>
        <v>418500.77199999994</v>
      </c>
      <c r="U237" s="42">
        <f>U238+5000</f>
        <v>420849.87568000006</v>
      </c>
      <c r="V237" s="46"/>
      <c r="W237" s="37">
        <f t="shared" si="60"/>
        <v>119.15995568292597</v>
      </c>
      <c r="X237" s="37">
        <f t="shared" si="61"/>
        <v>114.40844919689594</v>
      </c>
    </row>
    <row r="238" spans="1:24" ht="38.25">
      <c r="A238" s="39"/>
      <c r="B238" s="40"/>
      <c r="C238" s="39"/>
      <c r="D238" s="41"/>
      <c r="E238" s="39"/>
      <c r="F238" s="39">
        <v>149</v>
      </c>
      <c r="G238" s="39" t="s">
        <v>43</v>
      </c>
      <c r="H238" s="42">
        <f>SUM(H240:H256)</f>
        <v>249223</v>
      </c>
      <c r="I238" s="42">
        <f>I239</f>
        <v>300410.627</v>
      </c>
      <c r="J238" s="42">
        <f>J239</f>
        <v>357969.17</v>
      </c>
      <c r="K238" s="42"/>
      <c r="L238" s="42"/>
      <c r="M238" s="42"/>
      <c r="N238" s="42">
        <f>N239</f>
        <v>409546.976</v>
      </c>
      <c r="O238" s="42"/>
      <c r="P238" s="42"/>
      <c r="Q238" s="42">
        <f>Q239</f>
        <v>411325.676</v>
      </c>
      <c r="R238" s="35">
        <f t="shared" si="56"/>
        <v>100.43430915236449</v>
      </c>
      <c r="S238" s="42"/>
      <c r="T238" s="42">
        <f>T239</f>
        <v>413500.77199999994</v>
      </c>
      <c r="U238" s="42">
        <f>U239</f>
        <v>415849.87568000006</v>
      </c>
      <c r="V238" s="46" t="s">
        <v>133</v>
      </c>
      <c r="W238" s="37">
        <f t="shared" si="60"/>
        <v>119.15995568292597</v>
      </c>
      <c r="X238" s="37">
        <f t="shared" si="61"/>
        <v>114.40844919689594</v>
      </c>
    </row>
    <row r="239" spans="1:24" ht="12.75">
      <c r="A239" s="39"/>
      <c r="B239" s="40"/>
      <c r="C239" s="39"/>
      <c r="D239" s="41"/>
      <c r="E239" s="39"/>
      <c r="F239" s="39"/>
      <c r="G239" s="39" t="s">
        <v>108</v>
      </c>
      <c r="H239" s="42"/>
      <c r="I239" s="42">
        <f>SUM(I240:I256)</f>
        <v>300410.627</v>
      </c>
      <c r="J239" s="42">
        <f>SUM(J240:J248,J252:J256)</f>
        <v>357969.17</v>
      </c>
      <c r="K239" s="42"/>
      <c r="L239" s="42"/>
      <c r="M239" s="42"/>
      <c r="N239" s="42">
        <f>SUM(N240:N256)</f>
        <v>409546.976</v>
      </c>
      <c r="O239" s="42">
        <f>SUM(O240:O256)</f>
        <v>351029</v>
      </c>
      <c r="P239" s="42"/>
      <c r="Q239" s="42">
        <f>SUM(Q240:Q256)</f>
        <v>411325.676</v>
      </c>
      <c r="R239" s="35">
        <f t="shared" si="56"/>
        <v>100.43430915236449</v>
      </c>
      <c r="S239" s="42"/>
      <c r="T239" s="42">
        <f>SUM(T240:T256)</f>
        <v>413500.77199999994</v>
      </c>
      <c r="U239" s="42">
        <f>SUM(U240:U256)</f>
        <v>415849.87568000006</v>
      </c>
      <c r="V239" s="46"/>
      <c r="W239" s="37">
        <f t="shared" si="60"/>
        <v>119.15995568292597</v>
      </c>
      <c r="X239" s="37">
        <f t="shared" si="61"/>
        <v>114.40844919689594</v>
      </c>
    </row>
    <row r="240" spans="1:24" ht="12.75">
      <c r="A240" s="39"/>
      <c r="B240" s="40"/>
      <c r="C240" s="39"/>
      <c r="D240" s="41"/>
      <c r="E240" s="39"/>
      <c r="F240" s="39">
        <v>111</v>
      </c>
      <c r="G240" s="39" t="s">
        <v>33</v>
      </c>
      <c r="H240" s="42">
        <v>192675</v>
      </c>
      <c r="I240" s="42">
        <v>220913</v>
      </c>
      <c r="J240" s="42">
        <v>293163</v>
      </c>
      <c r="K240" s="42"/>
      <c r="L240" s="42"/>
      <c r="M240" s="42"/>
      <c r="N240" s="42">
        <v>334424</v>
      </c>
      <c r="O240" s="42">
        <v>334424</v>
      </c>
      <c r="P240" s="42"/>
      <c r="Q240" s="42">
        <v>334424</v>
      </c>
      <c r="R240" s="35">
        <f t="shared" si="56"/>
        <v>100</v>
      </c>
      <c r="S240" s="42"/>
      <c r="T240" s="42">
        <v>334424</v>
      </c>
      <c r="U240" s="42">
        <v>334424</v>
      </c>
      <c r="V240" s="48"/>
      <c r="W240" s="37">
        <f t="shared" si="60"/>
        <v>132.70518258318887</v>
      </c>
      <c r="X240" s="37">
        <f t="shared" si="61"/>
        <v>114.07442276139894</v>
      </c>
    </row>
    <row r="241" spans="1:24" ht="12.75">
      <c r="A241" s="39"/>
      <c r="B241" s="40"/>
      <c r="C241" s="39"/>
      <c r="D241" s="41"/>
      <c r="E241" s="39"/>
      <c r="F241" s="39">
        <v>113</v>
      </c>
      <c r="G241" s="39" t="s">
        <v>35</v>
      </c>
      <c r="H241" s="42">
        <v>8817</v>
      </c>
      <c r="I241" s="42">
        <v>10956</v>
      </c>
      <c r="J241" s="42">
        <v>12480</v>
      </c>
      <c r="K241" s="42"/>
      <c r="L241" s="42"/>
      <c r="M241" s="42"/>
      <c r="N241" s="42">
        <v>16605</v>
      </c>
      <c r="O241" s="42">
        <v>16605</v>
      </c>
      <c r="P241" s="42"/>
      <c r="Q241" s="42">
        <v>16605</v>
      </c>
      <c r="R241" s="35">
        <f t="shared" si="56"/>
        <v>100</v>
      </c>
      <c r="S241" s="42"/>
      <c r="T241" s="42">
        <v>16605</v>
      </c>
      <c r="U241" s="42">
        <v>16605</v>
      </c>
      <c r="V241" s="46"/>
      <c r="W241" s="37">
        <f t="shared" si="60"/>
        <v>113.91018619934283</v>
      </c>
      <c r="X241" s="37">
        <f t="shared" si="61"/>
        <v>133.0528846153846</v>
      </c>
    </row>
    <row r="242" spans="1:24" ht="12.75">
      <c r="A242" s="39"/>
      <c r="B242" s="40"/>
      <c r="C242" s="39"/>
      <c r="D242" s="41"/>
      <c r="E242" s="39"/>
      <c r="F242" s="39">
        <v>121</v>
      </c>
      <c r="G242" s="39" t="s">
        <v>36</v>
      </c>
      <c r="H242" s="42">
        <v>13400</v>
      </c>
      <c r="I242" s="42">
        <f>(I240-(I240*0.1))*0.06</f>
        <v>11929.302</v>
      </c>
      <c r="J242" s="42">
        <v>15831</v>
      </c>
      <c r="K242" s="42"/>
      <c r="L242" s="42"/>
      <c r="M242" s="42"/>
      <c r="N242" s="42">
        <f>(N240-(N240*0.1))*0.06</f>
        <v>18058.895999999997</v>
      </c>
      <c r="O242" s="42"/>
      <c r="P242" s="42"/>
      <c r="Q242" s="42">
        <f>(Q240-(Q240*0.1))*0.06</f>
        <v>18058.895999999997</v>
      </c>
      <c r="R242" s="35">
        <f t="shared" si="56"/>
        <v>100</v>
      </c>
      <c r="S242" s="42"/>
      <c r="T242" s="42">
        <f>(T240-(T240*0.1))*0.06</f>
        <v>18058.895999999997</v>
      </c>
      <c r="U242" s="42">
        <f>(U240-(U240*0.1))*0.06</f>
        <v>18058.895999999997</v>
      </c>
      <c r="V242" s="46"/>
      <c r="W242" s="37">
        <f t="shared" si="60"/>
        <v>132.7068423617744</v>
      </c>
      <c r="X242" s="37">
        <f t="shared" si="61"/>
        <v>114.07299602046615</v>
      </c>
    </row>
    <row r="243" spans="1:24" ht="25.5">
      <c r="A243" s="39"/>
      <c r="B243" s="40"/>
      <c r="C243" s="39"/>
      <c r="D243" s="41"/>
      <c r="E243" s="39"/>
      <c r="F243" s="39">
        <v>122</v>
      </c>
      <c r="G243" s="39" t="s">
        <v>37</v>
      </c>
      <c r="H243" s="42">
        <v>6936</v>
      </c>
      <c r="I243" s="42">
        <f>(I240-(I240*0.1))*0.05</f>
        <v>9941.085000000001</v>
      </c>
      <c r="J243" s="42">
        <v>13192</v>
      </c>
      <c r="K243" s="42"/>
      <c r="L243" s="42"/>
      <c r="M243" s="42"/>
      <c r="N243" s="42">
        <f>(N240-(N240*0.1))*0.05</f>
        <v>15049.08</v>
      </c>
      <c r="O243" s="42"/>
      <c r="P243" s="42"/>
      <c r="Q243" s="42">
        <f>(Q240-(Q240*0.1))*0.05</f>
        <v>15049.08</v>
      </c>
      <c r="R243" s="35">
        <f t="shared" si="56"/>
        <v>100</v>
      </c>
      <c r="S243" s="42"/>
      <c r="T243" s="42">
        <f>(T240-(T240*0.1))*0.05</f>
        <v>15049.08</v>
      </c>
      <c r="U243" s="42">
        <f>(U240-(U240*0.1))*0.05</f>
        <v>15049.08</v>
      </c>
      <c r="V243" s="46"/>
      <c r="W243" s="37">
        <f t="shared" si="60"/>
        <v>132.701812729697</v>
      </c>
      <c r="X243" s="37">
        <f t="shared" si="61"/>
        <v>114.07731958762885</v>
      </c>
    </row>
    <row r="244" spans="1:24" ht="38.25">
      <c r="A244" s="39"/>
      <c r="B244" s="40"/>
      <c r="C244" s="39"/>
      <c r="D244" s="41"/>
      <c r="E244" s="39"/>
      <c r="F244" s="39">
        <v>125</v>
      </c>
      <c r="G244" s="39" t="s">
        <v>38</v>
      </c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35" t="e">
        <f t="shared" si="56"/>
        <v>#DIV/0!</v>
      </c>
      <c r="S244" s="42"/>
      <c r="T244" s="47"/>
      <c r="U244" s="35"/>
      <c r="V244" s="46"/>
      <c r="W244" s="37"/>
      <c r="X244" s="37"/>
    </row>
    <row r="245" spans="1:24" ht="12.75">
      <c r="A245" s="39"/>
      <c r="B245" s="40"/>
      <c r="C245" s="39"/>
      <c r="D245" s="41"/>
      <c r="E245" s="39"/>
      <c r="F245" s="39">
        <v>131</v>
      </c>
      <c r="G245" s="39" t="s">
        <v>110</v>
      </c>
      <c r="H245" s="42">
        <v>8905</v>
      </c>
      <c r="I245" s="42">
        <v>10248</v>
      </c>
      <c r="J245" s="42">
        <v>11090</v>
      </c>
      <c r="K245" s="42"/>
      <c r="L245" s="42"/>
      <c r="M245" s="42"/>
      <c r="N245" s="42">
        <v>1198</v>
      </c>
      <c r="O245" s="42"/>
      <c r="P245" s="42"/>
      <c r="Q245" s="42">
        <f>N245+(N245*0.07)</f>
        <v>1281.8600000000001</v>
      </c>
      <c r="R245" s="35">
        <f t="shared" si="56"/>
        <v>107</v>
      </c>
      <c r="S245" s="42"/>
      <c r="T245" s="47">
        <f>Q245*1.08</f>
        <v>1384.4088000000002</v>
      </c>
      <c r="U245" s="47">
        <f>T245*1.08</f>
        <v>1495.1615040000004</v>
      </c>
      <c r="V245" s="46"/>
      <c r="W245" s="37">
        <f>J245/I245*100</f>
        <v>108.21623731459798</v>
      </c>
      <c r="X245" s="37">
        <f>N245/J245*100</f>
        <v>10.802524797114517</v>
      </c>
    </row>
    <row r="246" spans="1:24" ht="25.5">
      <c r="A246" s="39"/>
      <c r="B246" s="40"/>
      <c r="C246" s="39"/>
      <c r="D246" s="41"/>
      <c r="E246" s="39"/>
      <c r="F246" s="39">
        <v>132</v>
      </c>
      <c r="G246" s="39" t="s">
        <v>89</v>
      </c>
      <c r="H246" s="42">
        <v>22</v>
      </c>
      <c r="I246" s="42">
        <v>31</v>
      </c>
      <c r="J246" s="42">
        <f>I246+(I246*0.07)</f>
        <v>33.17</v>
      </c>
      <c r="K246" s="42"/>
      <c r="L246" s="42"/>
      <c r="M246" s="42"/>
      <c r="N246" s="42">
        <v>45</v>
      </c>
      <c r="O246" s="42"/>
      <c r="P246" s="42"/>
      <c r="Q246" s="42">
        <f aca="true" t="shared" si="63" ref="Q246:Q254">N246+(N246*0.07)</f>
        <v>48.15</v>
      </c>
      <c r="R246" s="35">
        <f t="shared" si="56"/>
        <v>107</v>
      </c>
      <c r="S246" s="42"/>
      <c r="T246" s="47">
        <f>Q246*1.08</f>
        <v>52.002</v>
      </c>
      <c r="U246" s="47">
        <f aca="true" t="shared" si="64" ref="U246:U255">T246*1.08</f>
        <v>56.16216000000001</v>
      </c>
      <c r="V246" s="46"/>
      <c r="W246" s="37">
        <f>J246/I246*100</f>
        <v>107</v>
      </c>
      <c r="X246" s="37">
        <f>N246/J246*100</f>
        <v>135.66475731082303</v>
      </c>
    </row>
    <row r="247" spans="1:24" ht="12.75">
      <c r="A247" s="39"/>
      <c r="B247" s="40"/>
      <c r="C247" s="39"/>
      <c r="D247" s="41"/>
      <c r="E247" s="39"/>
      <c r="F247" s="39">
        <v>139</v>
      </c>
      <c r="G247" s="39" t="s">
        <v>39</v>
      </c>
      <c r="H247" s="42">
        <v>7073</v>
      </c>
      <c r="I247" s="42">
        <v>3128</v>
      </c>
      <c r="J247" s="42">
        <v>3788</v>
      </c>
      <c r="K247" s="42"/>
      <c r="L247" s="42"/>
      <c r="M247" s="42"/>
      <c r="N247" s="42">
        <v>6391</v>
      </c>
      <c r="O247" s="42"/>
      <c r="P247" s="42"/>
      <c r="Q247" s="42">
        <f t="shared" si="63"/>
        <v>6838.37</v>
      </c>
      <c r="R247" s="35">
        <f t="shared" si="56"/>
        <v>107</v>
      </c>
      <c r="S247" s="42"/>
      <c r="T247" s="47">
        <f>Q247*1.08</f>
        <v>7385.439600000001</v>
      </c>
      <c r="U247" s="47">
        <f t="shared" si="64"/>
        <v>7976.274768000001</v>
      </c>
      <c r="V247" s="46"/>
      <c r="W247" s="37">
        <f>J247/I247*100</f>
        <v>121.0997442455243</v>
      </c>
      <c r="X247" s="37">
        <f>N247/J247*100</f>
        <v>168.71700105596622</v>
      </c>
    </row>
    <row r="248" spans="1:24" ht="12.75">
      <c r="A248" s="39"/>
      <c r="B248" s="40"/>
      <c r="C248" s="39"/>
      <c r="D248" s="41"/>
      <c r="E248" s="39"/>
      <c r="F248" s="39">
        <v>141</v>
      </c>
      <c r="G248" s="39" t="s">
        <v>60</v>
      </c>
      <c r="H248" s="42">
        <v>2763</v>
      </c>
      <c r="I248" s="42">
        <v>4009</v>
      </c>
      <c r="J248" s="42">
        <f>J250+J251</f>
        <v>4310</v>
      </c>
      <c r="K248" s="42"/>
      <c r="L248" s="42"/>
      <c r="M248" s="42"/>
      <c r="N248" s="42">
        <v>4750</v>
      </c>
      <c r="O248" s="42"/>
      <c r="P248" s="42"/>
      <c r="Q248" s="42">
        <f t="shared" si="63"/>
        <v>5082.5</v>
      </c>
      <c r="R248" s="35">
        <f t="shared" si="56"/>
        <v>107</v>
      </c>
      <c r="S248" s="42"/>
      <c r="T248" s="47">
        <f>Q248*1.08</f>
        <v>5489.1</v>
      </c>
      <c r="U248" s="47">
        <f t="shared" si="64"/>
        <v>5928.228000000001</v>
      </c>
      <c r="V248" s="46"/>
      <c r="W248" s="37">
        <f>J248/I248*100</f>
        <v>107.50810675979048</v>
      </c>
      <c r="X248" s="37">
        <f>N248/J248*100</f>
        <v>110.20881670533642</v>
      </c>
    </row>
    <row r="249" spans="1:24" ht="12.75">
      <c r="A249" s="39"/>
      <c r="B249" s="40"/>
      <c r="C249" s="39"/>
      <c r="D249" s="41"/>
      <c r="E249" s="39"/>
      <c r="F249" s="39"/>
      <c r="G249" s="53" t="s">
        <v>58</v>
      </c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35" t="e">
        <f t="shared" si="56"/>
        <v>#DIV/0!</v>
      </c>
      <c r="S249" s="42"/>
      <c r="T249" s="47"/>
      <c r="U249" s="47"/>
      <c r="V249" s="46"/>
      <c r="W249" s="37"/>
      <c r="X249" s="37"/>
    </row>
    <row r="250" spans="1:24" ht="12.75">
      <c r="A250" s="39"/>
      <c r="B250" s="40"/>
      <c r="C250" s="39"/>
      <c r="D250" s="41"/>
      <c r="E250" s="39"/>
      <c r="F250" s="39"/>
      <c r="G250" s="53" t="s">
        <v>65</v>
      </c>
      <c r="H250" s="42"/>
      <c r="I250" s="42"/>
      <c r="J250" s="42">
        <v>315</v>
      </c>
      <c r="K250" s="42"/>
      <c r="L250" s="42"/>
      <c r="M250" s="42"/>
      <c r="N250" s="42"/>
      <c r="O250" s="42"/>
      <c r="P250" s="42"/>
      <c r="Q250" s="42"/>
      <c r="R250" s="35" t="e">
        <f t="shared" si="56"/>
        <v>#DIV/0!</v>
      </c>
      <c r="S250" s="42"/>
      <c r="T250" s="47"/>
      <c r="U250" s="47"/>
      <c r="V250" s="46"/>
      <c r="W250" s="37"/>
      <c r="X250" s="37"/>
    </row>
    <row r="251" spans="1:24" ht="12.75">
      <c r="A251" s="39"/>
      <c r="B251" s="40"/>
      <c r="C251" s="39"/>
      <c r="D251" s="41"/>
      <c r="E251" s="39"/>
      <c r="F251" s="39"/>
      <c r="G251" s="53" t="s">
        <v>66</v>
      </c>
      <c r="H251" s="42"/>
      <c r="I251" s="42"/>
      <c r="J251" s="42">
        <v>3995</v>
      </c>
      <c r="K251" s="42"/>
      <c r="L251" s="42"/>
      <c r="M251" s="42"/>
      <c r="N251" s="42"/>
      <c r="O251" s="42"/>
      <c r="P251" s="42"/>
      <c r="Q251" s="42"/>
      <c r="R251" s="35" t="e">
        <f t="shared" si="56"/>
        <v>#DIV/0!</v>
      </c>
      <c r="S251" s="42"/>
      <c r="T251" s="47"/>
      <c r="U251" s="47"/>
      <c r="V251" s="46"/>
      <c r="W251" s="37"/>
      <c r="X251" s="37"/>
    </row>
    <row r="252" spans="1:24" ht="12.75">
      <c r="A252" s="39"/>
      <c r="B252" s="40"/>
      <c r="C252" s="39"/>
      <c r="D252" s="41"/>
      <c r="E252" s="39"/>
      <c r="F252" s="39">
        <v>142</v>
      </c>
      <c r="G252" s="39" t="s">
        <v>40</v>
      </c>
      <c r="H252" s="42"/>
      <c r="I252" s="42">
        <v>218</v>
      </c>
      <c r="J252" s="42">
        <v>234</v>
      </c>
      <c r="K252" s="42"/>
      <c r="L252" s="42"/>
      <c r="M252" s="42"/>
      <c r="N252" s="42">
        <v>221</v>
      </c>
      <c r="O252" s="42"/>
      <c r="P252" s="42"/>
      <c r="Q252" s="42">
        <f t="shared" si="63"/>
        <v>236.47</v>
      </c>
      <c r="R252" s="35">
        <f t="shared" si="56"/>
        <v>107</v>
      </c>
      <c r="S252" s="42"/>
      <c r="T252" s="47">
        <f>Q252*1.08</f>
        <v>255.38760000000002</v>
      </c>
      <c r="U252" s="47">
        <f t="shared" si="64"/>
        <v>275.81860800000004</v>
      </c>
      <c r="V252" s="46"/>
      <c r="W252" s="37"/>
      <c r="X252" s="37"/>
    </row>
    <row r="253" spans="1:24" ht="12.75">
      <c r="A253" s="39"/>
      <c r="B253" s="40"/>
      <c r="C253" s="39"/>
      <c r="D253" s="41"/>
      <c r="E253" s="39"/>
      <c r="F253" s="39">
        <v>143</v>
      </c>
      <c r="G253" s="39" t="s">
        <v>41</v>
      </c>
      <c r="H253" s="42">
        <v>683</v>
      </c>
      <c r="I253" s="42">
        <f>H253+(H253*0.08)</f>
        <v>737.64</v>
      </c>
      <c r="J253" s="42">
        <v>793</v>
      </c>
      <c r="K253" s="42"/>
      <c r="L253" s="42"/>
      <c r="M253" s="42"/>
      <c r="N253" s="42"/>
      <c r="O253" s="42"/>
      <c r="P253" s="42"/>
      <c r="Q253" s="42">
        <f t="shared" si="63"/>
        <v>0</v>
      </c>
      <c r="R253" s="35" t="e">
        <f t="shared" si="56"/>
        <v>#DIV/0!</v>
      </c>
      <c r="S253" s="42"/>
      <c r="T253" s="47">
        <f>Q253*1.08</f>
        <v>0</v>
      </c>
      <c r="U253" s="47">
        <f t="shared" si="64"/>
        <v>0</v>
      </c>
      <c r="V253" s="46"/>
      <c r="W253" s="37">
        <f aca="true" t="shared" si="65" ref="W253:W268">J253/I253*100</f>
        <v>107.5050159969633</v>
      </c>
      <c r="X253" s="37">
        <f aca="true" t="shared" si="66" ref="X253:X261">N253/J253*100</f>
        <v>0</v>
      </c>
    </row>
    <row r="254" spans="1:24" ht="12.75">
      <c r="A254" s="39"/>
      <c r="B254" s="40"/>
      <c r="C254" s="39"/>
      <c r="D254" s="41"/>
      <c r="E254" s="39"/>
      <c r="F254" s="39">
        <v>147</v>
      </c>
      <c r="G254" s="39" t="s">
        <v>42</v>
      </c>
      <c r="H254" s="42">
        <v>370</v>
      </c>
      <c r="I254" s="42">
        <f>H254+(H254*0.08)</f>
        <v>399.6</v>
      </c>
      <c r="J254" s="42">
        <v>0</v>
      </c>
      <c r="K254" s="42"/>
      <c r="L254" s="42"/>
      <c r="M254" s="42"/>
      <c r="N254" s="42">
        <f>J254+(J254*0.07)</f>
        <v>0</v>
      </c>
      <c r="O254" s="42"/>
      <c r="P254" s="42"/>
      <c r="Q254" s="42">
        <f t="shared" si="63"/>
        <v>0</v>
      </c>
      <c r="R254" s="35" t="e">
        <f t="shared" si="56"/>
        <v>#DIV/0!</v>
      </c>
      <c r="S254" s="42"/>
      <c r="T254" s="47">
        <f>Q254*1.08</f>
        <v>0</v>
      </c>
      <c r="U254" s="47">
        <f t="shared" si="64"/>
        <v>0</v>
      </c>
      <c r="V254" s="46"/>
      <c r="W254" s="37">
        <f t="shared" si="65"/>
        <v>0</v>
      </c>
      <c r="X254" s="37" t="e">
        <f t="shared" si="66"/>
        <v>#DIV/0!</v>
      </c>
    </row>
    <row r="255" spans="1:24" ht="12.75">
      <c r="A255" s="39"/>
      <c r="B255" s="40"/>
      <c r="C255" s="39"/>
      <c r="D255" s="41"/>
      <c r="E255" s="39"/>
      <c r="F255" s="39">
        <v>149</v>
      </c>
      <c r="G255" s="39" t="s">
        <v>43</v>
      </c>
      <c r="H255" s="42">
        <v>7579</v>
      </c>
      <c r="I255" s="42">
        <v>2900</v>
      </c>
      <c r="J255" s="42">
        <v>3055</v>
      </c>
      <c r="K255" s="42"/>
      <c r="L255" s="42"/>
      <c r="M255" s="42"/>
      <c r="N255" s="42">
        <v>12805</v>
      </c>
      <c r="O255" s="42"/>
      <c r="P255" s="42"/>
      <c r="Q255" s="42">
        <f>N255+(N255*0.07)</f>
        <v>13701.35</v>
      </c>
      <c r="R255" s="35">
        <f t="shared" si="56"/>
        <v>107</v>
      </c>
      <c r="S255" s="42"/>
      <c r="T255" s="47">
        <f>Q255*1.08</f>
        <v>14797.458</v>
      </c>
      <c r="U255" s="47">
        <f t="shared" si="64"/>
        <v>15981.254640000001</v>
      </c>
      <c r="V255" s="46"/>
      <c r="W255" s="37">
        <f t="shared" si="65"/>
        <v>105.34482758620689</v>
      </c>
      <c r="X255" s="37">
        <f t="shared" si="66"/>
        <v>419.1489361702128</v>
      </c>
    </row>
    <row r="256" spans="1:24" ht="12.75">
      <c r="A256" s="39"/>
      <c r="B256" s="40"/>
      <c r="C256" s="39"/>
      <c r="D256" s="41"/>
      <c r="E256" s="39"/>
      <c r="F256" s="39">
        <v>461</v>
      </c>
      <c r="G256" s="39" t="s">
        <v>115</v>
      </c>
      <c r="H256" s="42"/>
      <c r="I256" s="42">
        <v>25000</v>
      </c>
      <c r="J256" s="42"/>
      <c r="K256" s="42"/>
      <c r="L256" s="42"/>
      <c r="M256" s="42"/>
      <c r="N256" s="42"/>
      <c r="O256" s="42"/>
      <c r="P256" s="42"/>
      <c r="Q256" s="42"/>
      <c r="R256" s="35" t="e">
        <f t="shared" si="56"/>
        <v>#DIV/0!</v>
      </c>
      <c r="S256" s="42"/>
      <c r="T256" s="47"/>
      <c r="U256" s="35"/>
      <c r="V256" s="57"/>
      <c r="W256" s="37">
        <f t="shared" si="65"/>
        <v>0</v>
      </c>
      <c r="X256" s="37" t="e">
        <f t="shared" si="66"/>
        <v>#DIV/0!</v>
      </c>
    </row>
    <row r="257" spans="1:24" ht="25.5">
      <c r="A257" s="39"/>
      <c r="B257" s="40" t="s">
        <v>134</v>
      </c>
      <c r="C257" s="39"/>
      <c r="D257" s="41"/>
      <c r="E257" s="39"/>
      <c r="F257" s="39"/>
      <c r="G257" s="39" t="s">
        <v>135</v>
      </c>
      <c r="H257" s="42">
        <f aca="true" t="shared" si="67" ref="H257:U257">H258+H295</f>
        <v>105706</v>
      </c>
      <c r="I257" s="42">
        <f t="shared" si="67"/>
        <v>90125.489</v>
      </c>
      <c r="J257" s="42">
        <f t="shared" si="67"/>
        <v>105500.1918</v>
      </c>
      <c r="K257" s="42"/>
      <c r="L257" s="42"/>
      <c r="M257" s="42"/>
      <c r="N257" s="42">
        <f t="shared" si="67"/>
        <v>77051.46100000001</v>
      </c>
      <c r="O257" s="42"/>
      <c r="P257" s="42"/>
      <c r="Q257" s="42">
        <f t="shared" si="67"/>
        <v>211413.4275</v>
      </c>
      <c r="R257" s="35">
        <f t="shared" si="56"/>
        <v>274.3795182546895</v>
      </c>
      <c r="S257" s="42"/>
      <c r="T257" s="42">
        <f t="shared" si="67"/>
        <v>178733.17607000002</v>
      </c>
      <c r="U257" s="42">
        <f t="shared" si="67"/>
        <v>190004.93224060003</v>
      </c>
      <c r="V257" s="46"/>
      <c r="W257" s="37">
        <f t="shared" si="65"/>
        <v>117.05921706566274</v>
      </c>
      <c r="X257" s="37">
        <f t="shared" si="66"/>
        <v>73.03442741229217</v>
      </c>
    </row>
    <row r="258" spans="1:24" ht="25.5">
      <c r="A258" s="39"/>
      <c r="B258" s="40"/>
      <c r="C258" s="39">
        <v>464</v>
      </c>
      <c r="D258" s="41"/>
      <c r="E258" s="39"/>
      <c r="F258" s="39"/>
      <c r="G258" s="39" t="s">
        <v>101</v>
      </c>
      <c r="H258" s="42">
        <f>H259+H279+H281+H290</f>
        <v>105706</v>
      </c>
      <c r="I258" s="42">
        <f>I259+I279+I281+I290+I294</f>
        <v>90125.489</v>
      </c>
      <c r="J258" s="42">
        <f>J259+J279+J281+J290+J294+J284</f>
        <v>93546.1918</v>
      </c>
      <c r="K258" s="42"/>
      <c r="L258" s="42"/>
      <c r="M258" s="42"/>
      <c r="N258" s="42">
        <f>N259+N279+N281+N290+N294+N284+N288</f>
        <v>77051.46100000001</v>
      </c>
      <c r="O258" s="42">
        <f aca="true" t="shared" si="68" ref="O258:U258">O259+O279+O281+O290+O294+O284+O288</f>
        <v>0</v>
      </c>
      <c r="P258" s="42"/>
      <c r="Q258" s="42">
        <f t="shared" si="68"/>
        <v>211413.4275</v>
      </c>
      <c r="R258" s="35">
        <f t="shared" si="56"/>
        <v>274.3795182546895</v>
      </c>
      <c r="S258" s="42"/>
      <c r="T258" s="42">
        <f t="shared" si="68"/>
        <v>178733.17607000002</v>
      </c>
      <c r="U258" s="42">
        <f t="shared" si="68"/>
        <v>190004.93224060003</v>
      </c>
      <c r="V258" s="46"/>
      <c r="W258" s="37">
        <f t="shared" si="65"/>
        <v>103.79548875457418</v>
      </c>
      <c r="X258" s="37">
        <f t="shared" si="66"/>
        <v>82.36728777237087</v>
      </c>
    </row>
    <row r="259" spans="1:24" ht="38.25">
      <c r="A259" s="39"/>
      <c r="B259" s="40"/>
      <c r="C259" s="39"/>
      <c r="D259" s="41">
        <v>1</v>
      </c>
      <c r="E259" s="39"/>
      <c r="F259" s="39"/>
      <c r="G259" s="45" t="s">
        <v>136</v>
      </c>
      <c r="H259" s="42">
        <f>H260</f>
        <v>24575</v>
      </c>
      <c r="I259" s="42">
        <f>SUM(I261:I277)</f>
        <v>24293.249</v>
      </c>
      <c r="J259" s="42">
        <f>J261+J263+J264+J265+J266+J267+J268+J273+J274+J276+J277+J278</f>
        <v>25993.525</v>
      </c>
      <c r="K259" s="42">
        <f>SUM(K261:K268,K273:K278)</f>
        <v>25018</v>
      </c>
      <c r="L259" s="42">
        <v>28624</v>
      </c>
      <c r="M259" s="42">
        <v>28634</v>
      </c>
      <c r="N259" s="42">
        <f>SUM(N261:N268,N273:N277)</f>
        <v>29249.461000000003</v>
      </c>
      <c r="O259" s="42">
        <f aca="true" t="shared" si="69" ref="O259:U259">SUM(O261:O268,O273:O277)</f>
        <v>0</v>
      </c>
      <c r="P259" s="42"/>
      <c r="Q259" s="42">
        <f t="shared" si="69"/>
        <v>29569.287500000006</v>
      </c>
      <c r="R259" s="35">
        <f t="shared" si="56"/>
        <v>101.0934440809012</v>
      </c>
      <c r="S259" s="42"/>
      <c r="T259" s="42">
        <f t="shared" si="69"/>
        <v>29958.672270000006</v>
      </c>
      <c r="U259" s="42">
        <f t="shared" si="69"/>
        <v>30379.104780600006</v>
      </c>
      <c r="V259" s="46" t="s">
        <v>137</v>
      </c>
      <c r="W259" s="37">
        <f t="shared" si="65"/>
        <v>106.99896502110526</v>
      </c>
      <c r="X259" s="37">
        <f t="shared" si="66"/>
        <v>112.52595021260103</v>
      </c>
    </row>
    <row r="260" spans="1:24" ht="12.75">
      <c r="A260" s="39"/>
      <c r="B260" s="40"/>
      <c r="C260" s="39"/>
      <c r="D260" s="41"/>
      <c r="E260" s="39" t="s">
        <v>138</v>
      </c>
      <c r="F260" s="39"/>
      <c r="G260" s="39" t="s">
        <v>139</v>
      </c>
      <c r="H260" s="42">
        <f>H261+H263+H264+H265+H266+H267+H268+H273+H274+H276+H277+H278</f>
        <v>24575</v>
      </c>
      <c r="I260" s="42"/>
      <c r="J260" s="42"/>
      <c r="K260" s="42"/>
      <c r="L260" s="42"/>
      <c r="M260" s="42"/>
      <c r="N260" s="42"/>
      <c r="O260" s="42"/>
      <c r="P260" s="42"/>
      <c r="Q260" s="42"/>
      <c r="R260" s="35" t="e">
        <f t="shared" si="56"/>
        <v>#DIV/0!</v>
      </c>
      <c r="S260" s="42"/>
      <c r="T260" s="47"/>
      <c r="U260" s="35"/>
      <c r="V260" s="46"/>
      <c r="W260" s="37" t="e">
        <f t="shared" si="65"/>
        <v>#DIV/0!</v>
      </c>
      <c r="X260" s="37" t="e">
        <f t="shared" si="66"/>
        <v>#DIV/0!</v>
      </c>
    </row>
    <row r="261" spans="1:24" ht="12.75">
      <c r="A261" s="39"/>
      <c r="B261" s="40"/>
      <c r="C261" s="39"/>
      <c r="D261" s="41"/>
      <c r="E261" s="39"/>
      <c r="F261" s="39">
        <v>111</v>
      </c>
      <c r="G261" s="39" t="s">
        <v>33</v>
      </c>
      <c r="H261" s="42">
        <v>10348</v>
      </c>
      <c r="I261" s="42">
        <v>13731</v>
      </c>
      <c r="J261" s="42">
        <v>14975</v>
      </c>
      <c r="K261" s="42">
        <v>14683</v>
      </c>
      <c r="L261" s="42"/>
      <c r="M261" s="42"/>
      <c r="N261" s="42">
        <v>17389</v>
      </c>
      <c r="O261" s="42"/>
      <c r="P261" s="42"/>
      <c r="Q261" s="42">
        <v>17389</v>
      </c>
      <c r="R261" s="35">
        <f t="shared" si="56"/>
        <v>100</v>
      </c>
      <c r="S261" s="42"/>
      <c r="T261" s="42">
        <v>17389</v>
      </c>
      <c r="U261" s="42">
        <v>17389</v>
      </c>
      <c r="V261" s="48"/>
      <c r="W261" s="37">
        <f t="shared" si="65"/>
        <v>109.05979171218412</v>
      </c>
      <c r="X261" s="37">
        <f t="shared" si="66"/>
        <v>116.12020033388981</v>
      </c>
    </row>
    <row r="262" spans="1:24" ht="12.75">
      <c r="A262" s="39"/>
      <c r="B262" s="40"/>
      <c r="C262" s="39"/>
      <c r="D262" s="41"/>
      <c r="E262" s="39"/>
      <c r="F262" s="39">
        <v>112</v>
      </c>
      <c r="G262" s="39"/>
      <c r="H262" s="42"/>
      <c r="I262" s="42"/>
      <c r="J262" s="42"/>
      <c r="K262" s="42">
        <v>117</v>
      </c>
      <c r="L262" s="42"/>
      <c r="M262" s="42"/>
      <c r="N262" s="42"/>
      <c r="O262" s="42"/>
      <c r="P262" s="42"/>
      <c r="Q262" s="42"/>
      <c r="R262" s="35" t="e">
        <f t="shared" si="56"/>
        <v>#DIV/0!</v>
      </c>
      <c r="S262" s="42"/>
      <c r="T262" s="42"/>
      <c r="U262" s="42"/>
      <c r="V262" s="48"/>
      <c r="W262" s="37"/>
      <c r="X262" s="37"/>
    </row>
    <row r="263" spans="1:24" ht="12.75">
      <c r="A263" s="39"/>
      <c r="B263" s="40"/>
      <c r="C263" s="39"/>
      <c r="D263" s="41"/>
      <c r="E263" s="39"/>
      <c r="F263" s="39">
        <v>113</v>
      </c>
      <c r="G263" s="39" t="s">
        <v>35</v>
      </c>
      <c r="H263" s="42">
        <v>1725</v>
      </c>
      <c r="I263" s="42">
        <v>2542</v>
      </c>
      <c r="J263" s="42">
        <v>2821</v>
      </c>
      <c r="K263" s="42">
        <v>2821</v>
      </c>
      <c r="L263" s="42"/>
      <c r="M263" s="42"/>
      <c r="N263" s="42">
        <v>2898</v>
      </c>
      <c r="O263" s="42"/>
      <c r="P263" s="42"/>
      <c r="Q263" s="42">
        <f>N263</f>
        <v>2898</v>
      </c>
      <c r="R263" s="35">
        <f t="shared" si="56"/>
        <v>100</v>
      </c>
      <c r="S263" s="42"/>
      <c r="T263" s="42">
        <f>Q263</f>
        <v>2898</v>
      </c>
      <c r="U263" s="42">
        <f>T263</f>
        <v>2898</v>
      </c>
      <c r="V263" s="46"/>
      <c r="W263" s="37">
        <f t="shared" si="65"/>
        <v>110.97560975609757</v>
      </c>
      <c r="X263" s="37">
        <f aca="true" t="shared" si="70" ref="X263:X268">N263/J263*100</f>
        <v>102.72952853598014</v>
      </c>
    </row>
    <row r="264" spans="1:24" ht="12.75">
      <c r="A264" s="39"/>
      <c r="B264" s="40"/>
      <c r="C264" s="39"/>
      <c r="D264" s="41"/>
      <c r="E264" s="39"/>
      <c r="F264" s="39">
        <v>121</v>
      </c>
      <c r="G264" s="39" t="s">
        <v>36</v>
      </c>
      <c r="H264" s="42">
        <v>652</v>
      </c>
      <c r="I264" s="42">
        <f>(I261-(I261*0.1))*0.06</f>
        <v>741.4739999999999</v>
      </c>
      <c r="J264" s="42">
        <f>(J261-(J261*0.1))*0.06</f>
        <v>808.65</v>
      </c>
      <c r="K264" s="42">
        <v>809</v>
      </c>
      <c r="L264" s="42"/>
      <c r="M264" s="42"/>
      <c r="N264" s="42">
        <f>(N261-(N261*0.1))*0.06</f>
        <v>939.006</v>
      </c>
      <c r="O264" s="42"/>
      <c r="P264" s="42"/>
      <c r="Q264" s="42">
        <f>(Q261-(Q261*0.1))*0.06</f>
        <v>939.006</v>
      </c>
      <c r="R264" s="35">
        <f t="shared" si="56"/>
        <v>100</v>
      </c>
      <c r="S264" s="42"/>
      <c r="T264" s="42">
        <f>(T261-(T261*0.1))*0.06</f>
        <v>939.006</v>
      </c>
      <c r="U264" s="42">
        <f>(U261-(U261*0.1))*0.06</f>
        <v>939.006</v>
      </c>
      <c r="V264" s="46"/>
      <c r="W264" s="37">
        <f t="shared" si="65"/>
        <v>109.05979171218412</v>
      </c>
      <c r="X264" s="37">
        <f t="shared" si="70"/>
        <v>116.12020033388981</v>
      </c>
    </row>
    <row r="265" spans="1:24" ht="25.5">
      <c r="A265" s="39"/>
      <c r="B265" s="40"/>
      <c r="C265" s="39"/>
      <c r="D265" s="41"/>
      <c r="E265" s="39"/>
      <c r="F265" s="39">
        <v>122</v>
      </c>
      <c r="G265" s="39" t="s">
        <v>37</v>
      </c>
      <c r="H265" s="42">
        <v>373</v>
      </c>
      <c r="I265" s="42">
        <f>(I261-(I261*0.1))*0.05</f>
        <v>617.895</v>
      </c>
      <c r="J265" s="42">
        <f>(J261-(J261*0.1))*0.05</f>
        <v>673.875</v>
      </c>
      <c r="K265" s="42">
        <v>642</v>
      </c>
      <c r="L265" s="42"/>
      <c r="M265" s="42"/>
      <c r="N265" s="42">
        <f>(N261-(N261*0.1))*0.05</f>
        <v>782.5050000000001</v>
      </c>
      <c r="O265" s="42"/>
      <c r="P265" s="42"/>
      <c r="Q265" s="42">
        <f>(Q261-(Q261*0.1))*0.05</f>
        <v>782.5050000000001</v>
      </c>
      <c r="R265" s="35">
        <f t="shared" si="56"/>
        <v>100</v>
      </c>
      <c r="S265" s="42"/>
      <c r="T265" s="42">
        <f>(T261-(T261*0.1))*0.05</f>
        <v>782.5050000000001</v>
      </c>
      <c r="U265" s="42">
        <f>(U261-(U261*0.1))*0.05</f>
        <v>782.5050000000001</v>
      </c>
      <c r="V265" s="46"/>
      <c r="W265" s="37">
        <f t="shared" si="65"/>
        <v>109.05979171218412</v>
      </c>
      <c r="X265" s="37">
        <f t="shared" si="70"/>
        <v>116.12020033388984</v>
      </c>
    </row>
    <row r="266" spans="1:24" ht="38.25">
      <c r="A266" s="39"/>
      <c r="B266" s="40"/>
      <c r="C266" s="39"/>
      <c r="D266" s="41"/>
      <c r="E266" s="39"/>
      <c r="F266" s="39">
        <v>125</v>
      </c>
      <c r="G266" s="39" t="s">
        <v>38</v>
      </c>
      <c r="H266" s="42">
        <v>5</v>
      </c>
      <c r="I266" s="42">
        <v>6</v>
      </c>
      <c r="J266" s="42">
        <v>0</v>
      </c>
      <c r="K266" s="42"/>
      <c r="L266" s="42"/>
      <c r="M266" s="42"/>
      <c r="N266" s="42">
        <f>J266+(J266*0.07)</f>
        <v>0</v>
      </c>
      <c r="O266" s="42"/>
      <c r="P266" s="42"/>
      <c r="Q266" s="42">
        <f>N266+(N266*0.07)</f>
        <v>0</v>
      </c>
      <c r="R266" s="35" t="e">
        <f t="shared" si="56"/>
        <v>#DIV/0!</v>
      </c>
      <c r="S266" s="42"/>
      <c r="T266" s="47"/>
      <c r="U266" s="35"/>
      <c r="V266" s="46"/>
      <c r="W266" s="37">
        <f t="shared" si="65"/>
        <v>0</v>
      </c>
      <c r="X266" s="37" t="e">
        <f t="shared" si="70"/>
        <v>#DIV/0!</v>
      </c>
    </row>
    <row r="267" spans="1:24" ht="12.75">
      <c r="A267" s="39"/>
      <c r="B267" s="40"/>
      <c r="C267" s="39"/>
      <c r="D267" s="41"/>
      <c r="E267" s="39"/>
      <c r="F267" s="39">
        <v>139</v>
      </c>
      <c r="G267" s="39" t="s">
        <v>39</v>
      </c>
      <c r="H267" s="42">
        <v>2957</v>
      </c>
      <c r="I267" s="42">
        <v>1687</v>
      </c>
      <c r="J267" s="42">
        <v>1250</v>
      </c>
      <c r="K267" s="42">
        <v>964</v>
      </c>
      <c r="L267" s="42"/>
      <c r="M267" s="42"/>
      <c r="N267" s="42">
        <v>1161</v>
      </c>
      <c r="O267" s="42"/>
      <c r="P267" s="42"/>
      <c r="Q267" s="42">
        <f aca="true" t="shared" si="71" ref="Q267:Q277">N267+(N267*0.07)</f>
        <v>1242.27</v>
      </c>
      <c r="R267" s="35">
        <f aca="true" t="shared" si="72" ref="R267:R330">Q267/N267*100</f>
        <v>107</v>
      </c>
      <c r="S267" s="42"/>
      <c r="T267" s="42">
        <f>Q267+(Q267*0.08)</f>
        <v>1341.6516</v>
      </c>
      <c r="U267" s="42">
        <f>T267+(T267*0.08)</f>
        <v>1448.983728</v>
      </c>
      <c r="V267" s="46"/>
      <c r="W267" s="37">
        <f t="shared" si="65"/>
        <v>74.09602845287493</v>
      </c>
      <c r="X267" s="37">
        <f t="shared" si="70"/>
        <v>92.88</v>
      </c>
    </row>
    <row r="268" spans="1:24" ht="12.75">
      <c r="A268" s="39"/>
      <c r="B268" s="40"/>
      <c r="C268" s="39"/>
      <c r="D268" s="41"/>
      <c r="E268" s="39"/>
      <c r="F268" s="39">
        <v>141</v>
      </c>
      <c r="G268" s="39" t="s">
        <v>60</v>
      </c>
      <c r="H268" s="42">
        <v>675</v>
      </c>
      <c r="I268" s="42">
        <v>907</v>
      </c>
      <c r="J268" s="42">
        <f>J270+J271+J272</f>
        <v>976</v>
      </c>
      <c r="K268" s="42">
        <f>K270+K271+K272</f>
        <v>0</v>
      </c>
      <c r="L268" s="42">
        <f>L270+L271+L272</f>
        <v>0</v>
      </c>
      <c r="M268" s="42">
        <f>M270+M271+M272</f>
        <v>0</v>
      </c>
      <c r="N268" s="42">
        <f>N270+N271+N272</f>
        <v>1044</v>
      </c>
      <c r="O268" s="42"/>
      <c r="P268" s="42"/>
      <c r="Q268" s="42">
        <f t="shared" si="71"/>
        <v>1117.08</v>
      </c>
      <c r="R268" s="35">
        <f t="shared" si="72"/>
        <v>106.99999999999999</v>
      </c>
      <c r="S268" s="42"/>
      <c r="T268" s="42">
        <f>Q268+(Q268*0.08)</f>
        <v>1206.4463999999998</v>
      </c>
      <c r="U268" s="42">
        <f>T268+(T268*0.08)</f>
        <v>1302.9621119999997</v>
      </c>
      <c r="V268" s="46"/>
      <c r="W268" s="37">
        <f t="shared" si="65"/>
        <v>107.6074972436604</v>
      </c>
      <c r="X268" s="37">
        <f t="shared" si="70"/>
        <v>106.9672131147541</v>
      </c>
    </row>
    <row r="269" spans="1:24" ht="12.75">
      <c r="A269" s="39"/>
      <c r="B269" s="40"/>
      <c r="C269" s="39"/>
      <c r="D269" s="41"/>
      <c r="E269" s="39"/>
      <c r="F269" s="39"/>
      <c r="G269" s="53" t="s">
        <v>58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35" t="e">
        <f t="shared" si="72"/>
        <v>#DIV/0!</v>
      </c>
      <c r="S269" s="42"/>
      <c r="T269" s="42"/>
      <c r="U269" s="42"/>
      <c r="V269" s="46"/>
      <c r="W269" s="37"/>
      <c r="X269" s="37"/>
    </row>
    <row r="270" spans="1:24" ht="12.75">
      <c r="A270" s="39"/>
      <c r="B270" s="40"/>
      <c r="C270" s="39"/>
      <c r="D270" s="41"/>
      <c r="E270" s="39"/>
      <c r="F270" s="39"/>
      <c r="G270" s="53" t="s">
        <v>64</v>
      </c>
      <c r="H270" s="42"/>
      <c r="I270" s="42"/>
      <c r="J270" s="42">
        <v>116</v>
      </c>
      <c r="K270" s="42"/>
      <c r="L270" s="42"/>
      <c r="M270" s="42"/>
      <c r="N270" s="42">
        <v>124</v>
      </c>
      <c r="O270" s="42"/>
      <c r="P270" s="42"/>
      <c r="Q270" s="42"/>
      <c r="R270" s="35">
        <f t="shared" si="72"/>
        <v>0</v>
      </c>
      <c r="S270" s="42"/>
      <c r="T270" s="42"/>
      <c r="U270" s="42"/>
      <c r="V270" s="46"/>
      <c r="W270" s="37"/>
      <c r="X270" s="37"/>
    </row>
    <row r="271" spans="1:24" ht="12.75">
      <c r="A271" s="39"/>
      <c r="B271" s="40"/>
      <c r="C271" s="39"/>
      <c r="D271" s="41"/>
      <c r="E271" s="39"/>
      <c r="F271" s="39"/>
      <c r="G271" s="53" t="s">
        <v>65</v>
      </c>
      <c r="H271" s="42"/>
      <c r="I271" s="42"/>
      <c r="J271" s="42">
        <v>314</v>
      </c>
      <c r="K271" s="42"/>
      <c r="L271" s="42"/>
      <c r="M271" s="42"/>
      <c r="N271" s="42">
        <v>336</v>
      </c>
      <c r="O271" s="42"/>
      <c r="P271" s="42"/>
      <c r="Q271" s="42"/>
      <c r="R271" s="35">
        <f t="shared" si="72"/>
        <v>0</v>
      </c>
      <c r="S271" s="42"/>
      <c r="T271" s="42"/>
      <c r="U271" s="42"/>
      <c r="V271" s="46"/>
      <c r="W271" s="37"/>
      <c r="X271" s="37"/>
    </row>
    <row r="272" spans="1:24" ht="12.75">
      <c r="A272" s="39"/>
      <c r="B272" s="40"/>
      <c r="C272" s="39"/>
      <c r="D272" s="41"/>
      <c r="E272" s="39"/>
      <c r="F272" s="39"/>
      <c r="G272" s="53" t="s">
        <v>66</v>
      </c>
      <c r="H272" s="42"/>
      <c r="I272" s="42"/>
      <c r="J272" s="42">
        <v>546</v>
      </c>
      <c r="K272" s="42"/>
      <c r="L272" s="42"/>
      <c r="M272" s="42"/>
      <c r="N272" s="42">
        <v>584</v>
      </c>
      <c r="O272" s="42"/>
      <c r="P272" s="42"/>
      <c r="Q272" s="42"/>
      <c r="R272" s="35">
        <f t="shared" si="72"/>
        <v>0</v>
      </c>
      <c r="S272" s="42"/>
      <c r="T272" s="42"/>
      <c r="U272" s="42"/>
      <c r="V272" s="46"/>
      <c r="W272" s="37"/>
      <c r="X272" s="37"/>
    </row>
    <row r="273" spans="1:24" ht="12.75">
      <c r="A273" s="39"/>
      <c r="B273" s="40"/>
      <c r="C273" s="39"/>
      <c r="D273" s="41"/>
      <c r="E273" s="39"/>
      <c r="F273" s="39">
        <v>142</v>
      </c>
      <c r="G273" s="39" t="s">
        <v>40</v>
      </c>
      <c r="H273" s="42">
        <v>180</v>
      </c>
      <c r="I273" s="42">
        <f>H273+(H273*0.08)</f>
        <v>194.4</v>
      </c>
      <c r="J273" s="42">
        <v>210</v>
      </c>
      <c r="K273" s="42">
        <v>210</v>
      </c>
      <c r="L273" s="42"/>
      <c r="M273" s="42"/>
      <c r="N273" s="42">
        <f>J273+(J273*0.07)</f>
        <v>224.7</v>
      </c>
      <c r="O273" s="42"/>
      <c r="P273" s="42"/>
      <c r="Q273" s="42">
        <f t="shared" si="71"/>
        <v>240.429</v>
      </c>
      <c r="R273" s="35">
        <f t="shared" si="72"/>
        <v>107</v>
      </c>
      <c r="S273" s="42"/>
      <c r="T273" s="42">
        <f>Q273+(Q273*0.08)</f>
        <v>259.66332</v>
      </c>
      <c r="U273" s="42">
        <f>T273+(T273*0.08)</f>
        <v>280.4363856</v>
      </c>
      <c r="V273" s="46"/>
      <c r="W273" s="37">
        <f>J273/I273*100</f>
        <v>108.02469135802468</v>
      </c>
      <c r="X273" s="37">
        <f>N273/J273*100</f>
        <v>106.99999999999999</v>
      </c>
    </row>
    <row r="274" spans="1:24" ht="12.75">
      <c r="A274" s="39"/>
      <c r="B274" s="40"/>
      <c r="C274" s="39"/>
      <c r="D274" s="41"/>
      <c r="E274" s="39"/>
      <c r="F274" s="39">
        <v>149</v>
      </c>
      <c r="G274" s="39" t="s">
        <v>43</v>
      </c>
      <c r="H274" s="42">
        <v>7579</v>
      </c>
      <c r="I274" s="42">
        <v>3779</v>
      </c>
      <c r="J274" s="42">
        <v>4204</v>
      </c>
      <c r="K274" s="42">
        <v>4204</v>
      </c>
      <c r="L274" s="42"/>
      <c r="M274" s="42"/>
      <c r="N274" s="42">
        <v>4731</v>
      </c>
      <c r="O274" s="42"/>
      <c r="P274" s="42"/>
      <c r="Q274" s="42">
        <f>(N274-2672)*1.07+2672</f>
        <v>4875.13</v>
      </c>
      <c r="R274" s="35">
        <f t="shared" si="72"/>
        <v>103.04650179666032</v>
      </c>
      <c r="S274" s="42"/>
      <c r="T274" s="42">
        <f>(Q274-2672)*1.08+2672</f>
        <v>5051.3804</v>
      </c>
      <c r="U274" s="42">
        <f>(T274-2672)*1.08+2672</f>
        <v>5241.730832</v>
      </c>
      <c r="V274" s="46" t="s">
        <v>140</v>
      </c>
      <c r="W274" s="37">
        <f>J274/I274*100</f>
        <v>111.24636147128871</v>
      </c>
      <c r="X274" s="37">
        <f>N274/J274*100</f>
        <v>112.53568030447194</v>
      </c>
    </row>
    <row r="275" spans="1:24" ht="12.75">
      <c r="A275" s="39"/>
      <c r="B275" s="40"/>
      <c r="C275" s="39"/>
      <c r="D275" s="41"/>
      <c r="E275" s="39"/>
      <c r="F275" s="39">
        <v>151</v>
      </c>
      <c r="G275" s="39"/>
      <c r="H275" s="42"/>
      <c r="I275" s="42"/>
      <c r="J275" s="42"/>
      <c r="K275" s="42">
        <v>493</v>
      </c>
      <c r="L275" s="42"/>
      <c r="M275" s="42"/>
      <c r="N275" s="42"/>
      <c r="O275" s="42"/>
      <c r="P275" s="42"/>
      <c r="Q275" s="42"/>
      <c r="R275" s="35" t="e">
        <f t="shared" si="72"/>
        <v>#DIV/0!</v>
      </c>
      <c r="S275" s="42"/>
      <c r="T275" s="42">
        <f>Q275+(Q275*0.06)</f>
        <v>0</v>
      </c>
      <c r="U275" s="42">
        <f>T275+(T275*0.06)</f>
        <v>0</v>
      </c>
      <c r="V275" s="46"/>
      <c r="W275" s="37"/>
      <c r="X275" s="37"/>
    </row>
    <row r="276" spans="1:24" ht="25.5">
      <c r="A276" s="39"/>
      <c r="B276" s="40"/>
      <c r="C276" s="39"/>
      <c r="D276" s="41"/>
      <c r="E276" s="39"/>
      <c r="F276" s="39">
        <v>155</v>
      </c>
      <c r="G276" s="66" t="s">
        <v>141</v>
      </c>
      <c r="H276" s="42"/>
      <c r="I276" s="42">
        <f>H276+(H276*0.08)</f>
        <v>0</v>
      </c>
      <c r="J276" s="42">
        <f>I276+(I276*0.07)</f>
        <v>0</v>
      </c>
      <c r="K276" s="42"/>
      <c r="L276" s="42"/>
      <c r="M276" s="42"/>
      <c r="N276" s="42">
        <f>J276+(J276*0.07)</f>
        <v>0</v>
      </c>
      <c r="O276" s="42"/>
      <c r="P276" s="42"/>
      <c r="Q276" s="42">
        <f t="shared" si="71"/>
        <v>0</v>
      </c>
      <c r="R276" s="35" t="e">
        <f t="shared" si="72"/>
        <v>#DIV/0!</v>
      </c>
      <c r="S276" s="42"/>
      <c r="T276" s="42">
        <f>Q276+(Q276*0.06)</f>
        <v>0</v>
      </c>
      <c r="U276" s="42">
        <f>T276+(T276*0.06)</f>
        <v>0</v>
      </c>
      <c r="V276" s="46"/>
      <c r="W276" s="37"/>
      <c r="X276" s="37"/>
    </row>
    <row r="277" spans="1:24" ht="12.75">
      <c r="A277" s="39"/>
      <c r="B277" s="40"/>
      <c r="C277" s="39"/>
      <c r="D277" s="41"/>
      <c r="E277" s="39"/>
      <c r="F277" s="39">
        <v>159</v>
      </c>
      <c r="G277" s="39" t="s">
        <v>46</v>
      </c>
      <c r="H277" s="42">
        <v>81</v>
      </c>
      <c r="I277" s="42">
        <f>H277+(H277*0.08)</f>
        <v>87.48</v>
      </c>
      <c r="J277" s="42">
        <v>75</v>
      </c>
      <c r="K277" s="42">
        <v>75</v>
      </c>
      <c r="L277" s="42"/>
      <c r="M277" s="42"/>
      <c r="N277" s="42">
        <f>J277+(J277*0.07)</f>
        <v>80.25</v>
      </c>
      <c r="O277" s="42"/>
      <c r="P277" s="42"/>
      <c r="Q277" s="42">
        <f t="shared" si="71"/>
        <v>85.8675</v>
      </c>
      <c r="R277" s="35">
        <f t="shared" si="72"/>
        <v>107</v>
      </c>
      <c r="S277" s="42"/>
      <c r="T277" s="42">
        <f>Q277+(Q277*0.06)</f>
        <v>91.01955000000001</v>
      </c>
      <c r="U277" s="42">
        <f>T277+(T277*0.06)</f>
        <v>96.48072300000001</v>
      </c>
      <c r="V277" s="46"/>
      <c r="W277" s="37">
        <f aca="true" t="shared" si="73" ref="W277:W283">J277/I277*100</f>
        <v>85.73388203017832</v>
      </c>
      <c r="X277" s="37">
        <f aca="true" t="shared" si="74" ref="X277:X283">N277/J277*100</f>
        <v>107</v>
      </c>
    </row>
    <row r="278" spans="1:24" ht="25.5">
      <c r="A278" s="39"/>
      <c r="B278" s="40"/>
      <c r="C278" s="39"/>
      <c r="D278" s="41"/>
      <c r="E278" s="39"/>
      <c r="F278" s="39">
        <v>411</v>
      </c>
      <c r="G278" s="39" t="s">
        <v>49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35" t="e">
        <f t="shared" si="72"/>
        <v>#DIV/0!</v>
      </c>
      <c r="S278" s="42"/>
      <c r="T278" s="47"/>
      <c r="U278" s="35"/>
      <c r="V278" s="46"/>
      <c r="W278" s="37" t="e">
        <f t="shared" si="73"/>
        <v>#DIV/0!</v>
      </c>
      <c r="X278" s="37" t="e">
        <f t="shared" si="74"/>
        <v>#DIV/0!</v>
      </c>
    </row>
    <row r="279" spans="1:24" ht="38.25">
      <c r="A279" s="39"/>
      <c r="B279" s="40"/>
      <c r="C279" s="39"/>
      <c r="D279" s="41">
        <v>4</v>
      </c>
      <c r="E279" s="39" t="s">
        <v>67</v>
      </c>
      <c r="F279" s="39"/>
      <c r="G279" s="45" t="s">
        <v>142</v>
      </c>
      <c r="H279" s="42">
        <f>H280</f>
        <v>24190</v>
      </c>
      <c r="I279" s="42">
        <f>I280</f>
        <v>24000</v>
      </c>
      <c r="J279" s="42">
        <f>J280</f>
        <v>0</v>
      </c>
      <c r="K279" s="42"/>
      <c r="L279" s="42"/>
      <c r="M279" s="42"/>
      <c r="N279" s="42">
        <f>N280</f>
        <v>0</v>
      </c>
      <c r="O279" s="42"/>
      <c r="P279" s="42"/>
      <c r="Q279" s="42">
        <f>Q280</f>
        <v>0</v>
      </c>
      <c r="R279" s="35" t="e">
        <f t="shared" si="72"/>
        <v>#DIV/0!</v>
      </c>
      <c r="S279" s="42"/>
      <c r="T279" s="47"/>
      <c r="U279" s="35"/>
      <c r="V279" s="46"/>
      <c r="W279" s="37">
        <f t="shared" si="73"/>
        <v>0</v>
      </c>
      <c r="X279" s="37" t="e">
        <f t="shared" si="74"/>
        <v>#DIV/0!</v>
      </c>
    </row>
    <row r="280" spans="1:24" ht="25.5">
      <c r="A280" s="39"/>
      <c r="B280" s="40"/>
      <c r="C280" s="39"/>
      <c r="D280" s="41"/>
      <c r="E280" s="39"/>
      <c r="F280" s="39">
        <v>411</v>
      </c>
      <c r="G280" s="39" t="s">
        <v>49</v>
      </c>
      <c r="H280" s="42">
        <v>24190</v>
      </c>
      <c r="I280" s="42">
        <v>24000</v>
      </c>
      <c r="J280" s="42"/>
      <c r="K280" s="42"/>
      <c r="L280" s="42"/>
      <c r="M280" s="42"/>
      <c r="N280" s="42">
        <f>J280*1.07</f>
        <v>0</v>
      </c>
      <c r="O280" s="42"/>
      <c r="P280" s="42"/>
      <c r="Q280" s="42">
        <f>N280*1.07</f>
        <v>0</v>
      </c>
      <c r="R280" s="35" t="e">
        <f t="shared" si="72"/>
        <v>#DIV/0!</v>
      </c>
      <c r="S280" s="42"/>
      <c r="T280" s="47"/>
      <c r="U280" s="35"/>
      <c r="V280" s="46"/>
      <c r="W280" s="37">
        <f t="shared" si="73"/>
        <v>0</v>
      </c>
      <c r="X280" s="37" t="e">
        <f t="shared" si="74"/>
        <v>#DIV/0!</v>
      </c>
    </row>
    <row r="281" spans="1:24" ht="51">
      <c r="A281" s="39"/>
      <c r="B281" s="40"/>
      <c r="C281" s="39"/>
      <c r="D281" s="41">
        <v>5</v>
      </c>
      <c r="E281" s="39"/>
      <c r="F281" s="39"/>
      <c r="G281" s="45" t="s">
        <v>143</v>
      </c>
      <c r="H281" s="42">
        <f>H282+H283</f>
        <v>55638</v>
      </c>
      <c r="I281" s="42">
        <f>I282+I283</f>
        <v>40425</v>
      </c>
      <c r="J281" s="42">
        <f>J282+J283</f>
        <v>66046.75</v>
      </c>
      <c r="K281" s="42"/>
      <c r="L281" s="42">
        <v>46283</v>
      </c>
      <c r="M281" s="42">
        <v>66191</v>
      </c>
      <c r="N281" s="42">
        <f>N282+N283</f>
        <v>46191</v>
      </c>
      <c r="O281" s="42"/>
      <c r="P281" s="42"/>
      <c r="Q281" s="42">
        <f>N281*1.07</f>
        <v>49424.37</v>
      </c>
      <c r="R281" s="35">
        <f t="shared" si="72"/>
        <v>107</v>
      </c>
      <c r="S281" s="42"/>
      <c r="T281" s="42">
        <f>Q281*1.06</f>
        <v>52389.832200000004</v>
      </c>
      <c r="U281" s="42">
        <f>T281*1.06</f>
        <v>55533.22213200001</v>
      </c>
      <c r="V281" s="48"/>
      <c r="W281" s="37">
        <f t="shared" si="73"/>
        <v>163.38095238095238</v>
      </c>
      <c r="X281" s="37">
        <f t="shared" si="74"/>
        <v>69.93682505195183</v>
      </c>
    </row>
    <row r="282" spans="1:24" ht="12.75">
      <c r="A282" s="39"/>
      <c r="B282" s="40"/>
      <c r="C282" s="39"/>
      <c r="D282" s="41"/>
      <c r="E282" s="39"/>
      <c r="F282" s="39">
        <v>139</v>
      </c>
      <c r="G282" s="39" t="s">
        <v>39</v>
      </c>
      <c r="H282" s="42">
        <v>52998</v>
      </c>
      <c r="I282" s="42">
        <v>38500</v>
      </c>
      <c r="J282" s="42">
        <f>I282+(I282*0.07)+22792</f>
        <v>63987</v>
      </c>
      <c r="K282" s="42"/>
      <c r="L282" s="42"/>
      <c r="M282" s="42"/>
      <c r="N282" s="42">
        <v>44276</v>
      </c>
      <c r="O282" s="42"/>
      <c r="P282" s="42"/>
      <c r="Q282" s="42">
        <f>N282*1.07</f>
        <v>47375.32</v>
      </c>
      <c r="R282" s="35">
        <f t="shared" si="72"/>
        <v>107</v>
      </c>
      <c r="S282" s="42"/>
      <c r="T282" s="42">
        <f>Q282*1.08</f>
        <v>51165.3456</v>
      </c>
      <c r="U282" s="42">
        <f>T282*1.08</f>
        <v>55258.573248</v>
      </c>
      <c r="V282" s="46"/>
      <c r="W282" s="37">
        <f t="shared" si="73"/>
        <v>166.2</v>
      </c>
      <c r="X282" s="37">
        <f t="shared" si="74"/>
        <v>69.19530529638833</v>
      </c>
    </row>
    <row r="283" spans="1:24" ht="12.75">
      <c r="A283" s="39"/>
      <c r="B283" s="40"/>
      <c r="C283" s="39"/>
      <c r="D283" s="41"/>
      <c r="E283" s="39"/>
      <c r="F283" s="39">
        <v>143</v>
      </c>
      <c r="G283" s="39" t="s">
        <v>41</v>
      </c>
      <c r="H283" s="42">
        <v>2640</v>
      </c>
      <c r="I283" s="42">
        <v>1925</v>
      </c>
      <c r="J283" s="42">
        <f>I283+(I283*0.07)</f>
        <v>2059.75</v>
      </c>
      <c r="K283" s="42"/>
      <c r="L283" s="42"/>
      <c r="M283" s="42"/>
      <c r="N283" s="42">
        <v>1915</v>
      </c>
      <c r="O283" s="42"/>
      <c r="P283" s="42"/>
      <c r="Q283" s="42">
        <f>N283*1.07</f>
        <v>2049.05</v>
      </c>
      <c r="R283" s="35">
        <f t="shared" si="72"/>
        <v>107</v>
      </c>
      <c r="S283" s="42"/>
      <c r="T283" s="42">
        <f>Q283*1.08</f>
        <v>2212.974</v>
      </c>
      <c r="U283" s="42">
        <f>T283*1.08</f>
        <v>2390.0119200000004</v>
      </c>
      <c r="V283" s="46"/>
      <c r="W283" s="37">
        <f t="shared" si="73"/>
        <v>107</v>
      </c>
      <c r="X283" s="37">
        <f t="shared" si="74"/>
        <v>92.97244811263504</v>
      </c>
    </row>
    <row r="284" spans="1:24" ht="63.75">
      <c r="A284" s="39"/>
      <c r="B284" s="40"/>
      <c r="C284" s="39"/>
      <c r="D284" s="41">
        <v>15</v>
      </c>
      <c r="E284" s="39"/>
      <c r="F284" s="39"/>
      <c r="G284" s="51" t="s">
        <v>144</v>
      </c>
      <c r="H284" s="42"/>
      <c r="I284" s="42"/>
      <c r="J284" s="42">
        <f>J285</f>
        <v>0</v>
      </c>
      <c r="K284" s="42"/>
      <c r="L284" s="42"/>
      <c r="M284" s="42"/>
      <c r="N284" s="42">
        <f>N286+N287</f>
        <v>0</v>
      </c>
      <c r="O284" s="42"/>
      <c r="P284" s="42"/>
      <c r="Q284" s="42">
        <v>89170</v>
      </c>
      <c r="R284" s="35" t="e">
        <f t="shared" si="72"/>
        <v>#DIV/0!</v>
      </c>
      <c r="S284" s="42"/>
      <c r="T284" s="47">
        <v>94523</v>
      </c>
      <c r="U284" s="35">
        <v>102082</v>
      </c>
      <c r="V284" s="46" t="s">
        <v>145</v>
      </c>
      <c r="W284" s="37"/>
      <c r="X284" s="37"/>
    </row>
    <row r="285" spans="1:24" ht="25.5">
      <c r="A285" s="39"/>
      <c r="B285" s="40"/>
      <c r="C285" s="39"/>
      <c r="D285" s="41"/>
      <c r="E285" s="41">
        <v>11</v>
      </c>
      <c r="F285" s="39"/>
      <c r="G285" s="45" t="s">
        <v>105</v>
      </c>
      <c r="H285" s="42"/>
      <c r="I285" s="42"/>
      <c r="J285" s="42">
        <f>J286+J287</f>
        <v>0</v>
      </c>
      <c r="K285" s="42"/>
      <c r="L285" s="42"/>
      <c r="M285" s="42"/>
      <c r="N285" s="42"/>
      <c r="O285" s="42"/>
      <c r="P285" s="42"/>
      <c r="Q285" s="42"/>
      <c r="R285" s="35" t="e">
        <f t="shared" si="72"/>
        <v>#DIV/0!</v>
      </c>
      <c r="S285" s="42"/>
      <c r="T285" s="47"/>
      <c r="U285" s="35"/>
      <c r="V285" s="46"/>
      <c r="W285" s="37"/>
      <c r="X285" s="37"/>
    </row>
    <row r="286" spans="1:24" ht="12.75">
      <c r="A286" s="39"/>
      <c r="B286" s="40"/>
      <c r="C286" s="39"/>
      <c r="D286" s="41"/>
      <c r="E286" s="41"/>
      <c r="F286" s="39">
        <v>149</v>
      </c>
      <c r="G286" s="31" t="s">
        <v>43</v>
      </c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35" t="e">
        <f t="shared" si="72"/>
        <v>#DIV/0!</v>
      </c>
      <c r="S286" s="42"/>
      <c r="T286" s="47"/>
      <c r="U286" s="35"/>
      <c r="V286" s="46"/>
      <c r="W286" s="37"/>
      <c r="X286" s="37"/>
    </row>
    <row r="287" spans="1:24" ht="12.75">
      <c r="A287" s="39"/>
      <c r="B287" s="40"/>
      <c r="C287" s="39"/>
      <c r="D287" s="41"/>
      <c r="E287" s="41"/>
      <c r="F287" s="39">
        <v>332</v>
      </c>
      <c r="G287" s="31" t="s">
        <v>112</v>
      </c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35" t="e">
        <f t="shared" si="72"/>
        <v>#DIV/0!</v>
      </c>
      <c r="S287" s="42"/>
      <c r="T287" s="47"/>
      <c r="U287" s="35"/>
      <c r="V287" s="46"/>
      <c r="W287" s="37"/>
      <c r="X287" s="37"/>
    </row>
    <row r="288" spans="1:24" ht="38.25">
      <c r="A288" s="39"/>
      <c r="B288" s="40"/>
      <c r="C288" s="39"/>
      <c r="D288" s="41">
        <v>20</v>
      </c>
      <c r="E288" s="41"/>
      <c r="F288" s="39"/>
      <c r="G288" s="58" t="s">
        <v>146</v>
      </c>
      <c r="H288" s="42"/>
      <c r="I288" s="42"/>
      <c r="J288" s="42"/>
      <c r="K288" s="42"/>
      <c r="L288" s="42"/>
      <c r="M288" s="42"/>
      <c r="N288" s="42">
        <f>N289</f>
        <v>0</v>
      </c>
      <c r="O288" s="42"/>
      <c r="P288" s="42"/>
      <c r="Q288" s="42">
        <v>42150</v>
      </c>
      <c r="R288" s="35" t="e">
        <f t="shared" si="72"/>
        <v>#DIV/0!</v>
      </c>
      <c r="S288" s="42"/>
      <c r="T288" s="47"/>
      <c r="U288" s="35"/>
      <c r="V288" s="46"/>
      <c r="W288" s="37"/>
      <c r="X288" s="37"/>
    </row>
    <row r="289" spans="1:24" ht="25.5">
      <c r="A289" s="39"/>
      <c r="B289" s="40"/>
      <c r="C289" s="39"/>
      <c r="D289" s="41"/>
      <c r="E289" s="41"/>
      <c r="F289" s="39">
        <v>411</v>
      </c>
      <c r="G289" s="39" t="s">
        <v>49</v>
      </c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35" t="e">
        <f t="shared" si="72"/>
        <v>#DIV/0!</v>
      </c>
      <c r="S289" s="42"/>
      <c r="T289" s="47"/>
      <c r="U289" s="35"/>
      <c r="V289" s="46"/>
      <c r="W289" s="37"/>
      <c r="X289" s="37"/>
    </row>
    <row r="290" spans="1:24" ht="38.25">
      <c r="A290" s="39"/>
      <c r="B290" s="40"/>
      <c r="C290" s="39"/>
      <c r="D290" s="41">
        <v>7</v>
      </c>
      <c r="E290" s="39" t="s">
        <v>67</v>
      </c>
      <c r="F290" s="39"/>
      <c r="G290" s="45" t="s">
        <v>147</v>
      </c>
      <c r="H290" s="42">
        <f>H291+H292+H293</f>
        <v>1303</v>
      </c>
      <c r="I290" s="42">
        <f>I291+I292+I293</f>
        <v>1407.24</v>
      </c>
      <c r="J290" s="42">
        <f>J291+J292+J293</f>
        <v>1505.9168</v>
      </c>
      <c r="K290" s="42"/>
      <c r="L290" s="42">
        <v>1611</v>
      </c>
      <c r="M290" s="42">
        <v>1611</v>
      </c>
      <c r="N290" s="42">
        <f>N291+N292+N293</f>
        <v>1611</v>
      </c>
      <c r="O290" s="42"/>
      <c r="P290" s="42"/>
      <c r="Q290" s="42">
        <f>Q291+Q292+Q293-624</f>
        <v>1099.77</v>
      </c>
      <c r="R290" s="35">
        <f t="shared" si="72"/>
        <v>68.26629422718808</v>
      </c>
      <c r="S290" s="42"/>
      <c r="T290" s="42">
        <f>T291+T292+T293</f>
        <v>1861.6716000000001</v>
      </c>
      <c r="U290" s="42">
        <f>U291+U292+U293</f>
        <v>2010.6053280000003</v>
      </c>
      <c r="V290" s="46"/>
      <c r="W290" s="37">
        <f>J290/I290*100</f>
        <v>107.01208038429834</v>
      </c>
      <c r="X290" s="37">
        <f>N290/J290*100</f>
        <v>106.97802162775527</v>
      </c>
    </row>
    <row r="291" spans="1:24" ht="12.75">
      <c r="A291" s="39"/>
      <c r="B291" s="40"/>
      <c r="C291" s="39"/>
      <c r="D291" s="41"/>
      <c r="E291" s="39"/>
      <c r="F291" s="39">
        <v>139</v>
      </c>
      <c r="G291" s="39" t="s">
        <v>39</v>
      </c>
      <c r="H291" s="42">
        <v>128</v>
      </c>
      <c r="I291" s="42">
        <f>H291+(H291*0.08)</f>
        <v>138.24</v>
      </c>
      <c r="J291" s="42">
        <f>I291+(I291*0.07)</f>
        <v>147.91680000000002</v>
      </c>
      <c r="K291" s="42"/>
      <c r="L291" s="42"/>
      <c r="M291" s="42"/>
      <c r="N291" s="42">
        <v>163</v>
      </c>
      <c r="O291" s="42"/>
      <c r="P291" s="42"/>
      <c r="Q291" s="42">
        <f>N291*1.07</f>
        <v>174.41</v>
      </c>
      <c r="R291" s="35">
        <f t="shared" si="72"/>
        <v>107</v>
      </c>
      <c r="S291" s="42"/>
      <c r="T291" s="42">
        <f>Q291*1.08</f>
        <v>188.36280000000002</v>
      </c>
      <c r="U291" s="42">
        <f>T291*1.08</f>
        <v>203.43182400000003</v>
      </c>
      <c r="V291" s="46"/>
      <c r="W291" s="37">
        <f>J291/I291*100</f>
        <v>107</v>
      </c>
      <c r="X291" s="37">
        <f>N291/J291*100</f>
        <v>110.19708376600899</v>
      </c>
    </row>
    <row r="292" spans="1:24" ht="12.75">
      <c r="A292" s="39"/>
      <c r="B292" s="40"/>
      <c r="C292" s="39"/>
      <c r="D292" s="41"/>
      <c r="E292" s="39"/>
      <c r="F292" s="39">
        <v>149</v>
      </c>
      <c r="G292" s="39" t="s">
        <v>43</v>
      </c>
      <c r="H292" s="42">
        <v>980</v>
      </c>
      <c r="I292" s="42">
        <f>H292+(H292*0.08)</f>
        <v>1058.4</v>
      </c>
      <c r="J292" s="42">
        <v>811</v>
      </c>
      <c r="K292" s="42"/>
      <c r="L292" s="42"/>
      <c r="M292" s="42"/>
      <c r="N292" s="42">
        <v>864</v>
      </c>
      <c r="O292" s="42"/>
      <c r="P292" s="42"/>
      <c r="Q292" s="42">
        <f>N292*1.07</f>
        <v>924.48</v>
      </c>
      <c r="R292" s="35">
        <f t="shared" si="72"/>
        <v>107</v>
      </c>
      <c r="S292" s="42"/>
      <c r="T292" s="42">
        <f>Q292*1.08</f>
        <v>998.4384000000001</v>
      </c>
      <c r="U292" s="42">
        <f>T292*1.08</f>
        <v>1078.3134720000003</v>
      </c>
      <c r="V292" s="46"/>
      <c r="W292" s="37">
        <f>J292/I292*100</f>
        <v>76.62509448223733</v>
      </c>
      <c r="X292" s="37">
        <f>N292/J292*100</f>
        <v>106.5351418002466</v>
      </c>
    </row>
    <row r="293" spans="1:24" ht="12.75">
      <c r="A293" s="39"/>
      <c r="B293" s="40"/>
      <c r="C293" s="39"/>
      <c r="D293" s="41"/>
      <c r="E293" s="39"/>
      <c r="F293" s="39">
        <v>159</v>
      </c>
      <c r="G293" s="39" t="s">
        <v>46</v>
      </c>
      <c r="H293" s="42">
        <v>195</v>
      </c>
      <c r="I293" s="42">
        <f>H293+(H293*0.08)</f>
        <v>210.6</v>
      </c>
      <c r="J293" s="42">
        <v>547</v>
      </c>
      <c r="K293" s="42"/>
      <c r="L293" s="42"/>
      <c r="M293" s="42"/>
      <c r="N293" s="42">
        <v>584</v>
      </c>
      <c r="O293" s="42"/>
      <c r="P293" s="42"/>
      <c r="Q293" s="42">
        <f>N293*1.07</f>
        <v>624.88</v>
      </c>
      <c r="R293" s="35">
        <f t="shared" si="72"/>
        <v>107</v>
      </c>
      <c r="S293" s="42"/>
      <c r="T293" s="42">
        <f>Q293*1.08</f>
        <v>674.8704</v>
      </c>
      <c r="U293" s="42">
        <f>T293*1.08</f>
        <v>728.860032</v>
      </c>
      <c r="V293" s="46"/>
      <c r="W293" s="37">
        <f>J293/I293*100</f>
        <v>259.7340930674264</v>
      </c>
      <c r="X293" s="37">
        <f>N293/J293*100</f>
        <v>106.76416819012798</v>
      </c>
    </row>
    <row r="294" spans="1:24" ht="51">
      <c r="A294" s="39"/>
      <c r="B294" s="40"/>
      <c r="C294" s="39"/>
      <c r="D294" s="41">
        <v>11</v>
      </c>
      <c r="E294" s="39"/>
      <c r="F294" s="39"/>
      <c r="G294" s="45" t="s">
        <v>148</v>
      </c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35" t="e">
        <f t="shared" si="72"/>
        <v>#DIV/0!</v>
      </c>
      <c r="S294" s="42"/>
      <c r="T294" s="47"/>
      <c r="U294" s="35"/>
      <c r="V294" s="46"/>
      <c r="W294" s="37"/>
      <c r="X294" s="37"/>
    </row>
    <row r="295" spans="1:24" ht="12.75">
      <c r="A295" s="39"/>
      <c r="B295" s="40"/>
      <c r="C295" s="39">
        <v>467</v>
      </c>
      <c r="D295" s="41"/>
      <c r="E295" s="39"/>
      <c r="F295" s="39"/>
      <c r="G295" s="31" t="s">
        <v>149</v>
      </c>
      <c r="H295" s="42"/>
      <c r="I295" s="42">
        <f>I296</f>
        <v>0</v>
      </c>
      <c r="J295" s="42">
        <f>J296</f>
        <v>11954</v>
      </c>
      <c r="K295" s="42"/>
      <c r="L295" s="42"/>
      <c r="M295" s="42"/>
      <c r="N295" s="42">
        <f>N296</f>
        <v>0</v>
      </c>
      <c r="O295" s="42"/>
      <c r="P295" s="42"/>
      <c r="Q295" s="42">
        <f>Q296</f>
        <v>0</v>
      </c>
      <c r="R295" s="35" t="e">
        <f t="shared" si="72"/>
        <v>#DIV/0!</v>
      </c>
      <c r="S295" s="42"/>
      <c r="T295" s="47"/>
      <c r="U295" s="35"/>
      <c r="V295" s="46"/>
      <c r="W295" s="37"/>
      <c r="X295" s="37"/>
    </row>
    <row r="296" spans="1:24" ht="25.5">
      <c r="A296" s="39"/>
      <c r="B296" s="40"/>
      <c r="C296" s="39"/>
      <c r="D296" s="41">
        <v>37</v>
      </c>
      <c r="E296" s="39"/>
      <c r="F296" s="39"/>
      <c r="G296" s="45" t="s">
        <v>150</v>
      </c>
      <c r="H296" s="42"/>
      <c r="I296" s="42">
        <f>I299</f>
        <v>0</v>
      </c>
      <c r="J296" s="42">
        <f>J299+J297</f>
        <v>11954</v>
      </c>
      <c r="K296" s="42"/>
      <c r="L296" s="42"/>
      <c r="M296" s="42"/>
      <c r="N296" s="42">
        <f>N299+N297</f>
        <v>0</v>
      </c>
      <c r="O296" s="42"/>
      <c r="P296" s="42"/>
      <c r="Q296" s="42">
        <f>Q299+Q297</f>
        <v>0</v>
      </c>
      <c r="R296" s="35" t="e">
        <f t="shared" si="72"/>
        <v>#DIV/0!</v>
      </c>
      <c r="S296" s="42"/>
      <c r="T296" s="47"/>
      <c r="U296" s="35"/>
      <c r="V296" s="46"/>
      <c r="W296" s="37"/>
      <c r="X296" s="37"/>
    </row>
    <row r="297" spans="1:24" ht="25.5">
      <c r="A297" s="39"/>
      <c r="B297" s="40"/>
      <c r="C297" s="39"/>
      <c r="D297" s="41"/>
      <c r="E297" s="41">
        <v>11</v>
      </c>
      <c r="F297" s="39"/>
      <c r="G297" s="45" t="s">
        <v>105</v>
      </c>
      <c r="H297" s="42"/>
      <c r="I297" s="42"/>
      <c r="J297" s="42">
        <f>J298</f>
        <v>0</v>
      </c>
      <c r="K297" s="42"/>
      <c r="L297" s="42"/>
      <c r="M297" s="42"/>
      <c r="N297" s="42">
        <f>N298</f>
        <v>0</v>
      </c>
      <c r="O297" s="42"/>
      <c r="P297" s="42"/>
      <c r="Q297" s="42">
        <f>Q298</f>
        <v>0</v>
      </c>
      <c r="R297" s="35" t="e">
        <f t="shared" si="72"/>
        <v>#DIV/0!</v>
      </c>
      <c r="S297" s="42"/>
      <c r="T297" s="47"/>
      <c r="U297" s="35"/>
      <c r="V297" s="46"/>
      <c r="W297" s="37"/>
      <c r="X297" s="37"/>
    </row>
    <row r="298" spans="1:24" ht="12.75">
      <c r="A298" s="39"/>
      <c r="B298" s="40"/>
      <c r="C298" s="39"/>
      <c r="D298" s="41"/>
      <c r="E298" s="41"/>
      <c r="F298" s="39">
        <v>421</v>
      </c>
      <c r="G298" s="31" t="s">
        <v>151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35" t="e">
        <f t="shared" si="72"/>
        <v>#DIV/0!</v>
      </c>
      <c r="S298" s="42"/>
      <c r="T298" s="47"/>
      <c r="U298" s="35"/>
      <c r="V298" s="46"/>
      <c r="W298" s="37"/>
      <c r="X298" s="37"/>
    </row>
    <row r="299" spans="1:24" ht="12.75">
      <c r="A299" s="39"/>
      <c r="B299" s="40"/>
      <c r="C299" s="39"/>
      <c r="D299" s="41"/>
      <c r="E299" s="39" t="s">
        <v>106</v>
      </c>
      <c r="F299" s="39"/>
      <c r="G299" s="51" t="s">
        <v>107</v>
      </c>
      <c r="H299" s="42"/>
      <c r="I299" s="42"/>
      <c r="J299" s="42">
        <f>J300+J301</f>
        <v>11954</v>
      </c>
      <c r="K299" s="42"/>
      <c r="L299" s="42"/>
      <c r="M299" s="42"/>
      <c r="N299" s="42"/>
      <c r="O299" s="42"/>
      <c r="P299" s="42"/>
      <c r="Q299" s="42"/>
      <c r="R299" s="35" t="e">
        <f t="shared" si="72"/>
        <v>#DIV/0!</v>
      </c>
      <c r="S299" s="42"/>
      <c r="T299" s="47"/>
      <c r="U299" s="35"/>
      <c r="V299" s="46"/>
      <c r="W299" s="37"/>
      <c r="X299" s="37"/>
    </row>
    <row r="300" spans="1:24" ht="12.75">
      <c r="A300" s="39"/>
      <c r="B300" s="40"/>
      <c r="C300" s="39"/>
      <c r="D300" s="41"/>
      <c r="E300" s="39"/>
      <c r="F300" s="39">
        <v>149</v>
      </c>
      <c r="G300" s="39" t="s">
        <v>43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35" t="e">
        <f t="shared" si="72"/>
        <v>#DIV/0!</v>
      </c>
      <c r="S300" s="42"/>
      <c r="T300" s="47"/>
      <c r="U300" s="35"/>
      <c r="V300" s="46"/>
      <c r="W300" s="37"/>
      <c r="X300" s="37"/>
    </row>
    <row r="301" spans="1:24" ht="12.75">
      <c r="A301" s="39"/>
      <c r="B301" s="40"/>
      <c r="C301" s="39"/>
      <c r="D301" s="41"/>
      <c r="E301" s="39"/>
      <c r="F301" s="39">
        <v>421</v>
      </c>
      <c r="G301" s="39" t="s">
        <v>152</v>
      </c>
      <c r="H301" s="42"/>
      <c r="I301" s="42"/>
      <c r="J301" s="42">
        <v>11954</v>
      </c>
      <c r="K301" s="42"/>
      <c r="L301" s="42"/>
      <c r="M301" s="42"/>
      <c r="N301" s="42"/>
      <c r="O301" s="42"/>
      <c r="P301" s="42"/>
      <c r="Q301" s="42"/>
      <c r="R301" s="35" t="e">
        <f t="shared" si="72"/>
        <v>#DIV/0!</v>
      </c>
      <c r="S301" s="42"/>
      <c r="T301" s="47"/>
      <c r="U301" s="35"/>
      <c r="V301" s="46"/>
      <c r="W301" s="37"/>
      <c r="X301" s="37"/>
    </row>
    <row r="302" spans="1:24" ht="12.75">
      <c r="A302" s="39">
        <v>6</v>
      </c>
      <c r="B302" s="40"/>
      <c r="C302" s="39"/>
      <c r="D302" s="41"/>
      <c r="E302" s="39"/>
      <c r="F302" s="39"/>
      <c r="G302" s="34" t="s">
        <v>153</v>
      </c>
      <c r="H302" s="42" t="e">
        <f>H303+H397</f>
        <v>#REF!</v>
      </c>
      <c r="I302" s="42">
        <f>I303+I397</f>
        <v>545605.54</v>
      </c>
      <c r="J302" s="42">
        <f>J303+J397</f>
        <v>765260.8879999999</v>
      </c>
      <c r="K302" s="42"/>
      <c r="L302" s="42"/>
      <c r="M302" s="42"/>
      <c r="N302" s="42">
        <f>N303+N397</f>
        <v>853244.0752</v>
      </c>
      <c r="O302" s="42"/>
      <c r="P302" s="42"/>
      <c r="Q302" s="42">
        <f>Q303+Q397</f>
        <v>1030261.1240439998</v>
      </c>
      <c r="R302" s="35">
        <f t="shared" si="72"/>
        <v>120.74635546722163</v>
      </c>
      <c r="S302" s="42"/>
      <c r="T302" s="42">
        <f>T303+T397</f>
        <v>1008279.2496035201</v>
      </c>
      <c r="U302" s="42">
        <f>U303+U397</f>
        <v>1058099.423491802</v>
      </c>
      <c r="V302" s="46"/>
      <c r="W302" s="37">
        <f aca="true" t="shared" si="75" ref="W302:W312">J302/I302*100</f>
        <v>140.25900250206402</v>
      </c>
      <c r="X302" s="37">
        <f aca="true" t="shared" si="76" ref="X302:X312">N302/J302*100</f>
        <v>111.49714934862843</v>
      </c>
    </row>
    <row r="303" spans="1:24" ht="12.75">
      <c r="A303" s="39"/>
      <c r="B303" s="40">
        <v>2</v>
      </c>
      <c r="C303" s="39"/>
      <c r="D303" s="41"/>
      <c r="E303" s="39"/>
      <c r="F303" s="39"/>
      <c r="G303" s="39" t="s">
        <v>154</v>
      </c>
      <c r="H303" s="42" t="e">
        <f>H304+H392</f>
        <v>#REF!</v>
      </c>
      <c r="I303" s="42">
        <f>I304+I392</f>
        <v>496508.736</v>
      </c>
      <c r="J303" s="42">
        <f>J304+J392</f>
        <v>709818.7039999999</v>
      </c>
      <c r="K303" s="42"/>
      <c r="L303" s="42"/>
      <c r="M303" s="42"/>
      <c r="N303" s="42">
        <f>N304+N392</f>
        <v>792596.6512</v>
      </c>
      <c r="O303" s="42"/>
      <c r="P303" s="42"/>
      <c r="Q303" s="42">
        <f>Q304+Q392</f>
        <v>963481.7300439999</v>
      </c>
      <c r="R303" s="35">
        <f t="shared" si="72"/>
        <v>121.56015655444392</v>
      </c>
      <c r="S303" s="42"/>
      <c r="T303" s="42">
        <f>T304+T392</f>
        <v>942794.8184035202</v>
      </c>
      <c r="U303" s="42">
        <f>U304+U392</f>
        <v>994735.151715802</v>
      </c>
      <c r="V303" s="46"/>
      <c r="W303" s="37">
        <f t="shared" si="75"/>
        <v>142.9619768059831</v>
      </c>
      <c r="X303" s="37">
        <f t="shared" si="76"/>
        <v>111.66184361352079</v>
      </c>
    </row>
    <row r="304" spans="1:24" ht="25.5">
      <c r="A304" s="39"/>
      <c r="B304" s="40"/>
      <c r="C304" s="39">
        <v>451</v>
      </c>
      <c r="D304" s="41"/>
      <c r="E304" s="39"/>
      <c r="F304" s="39"/>
      <c r="G304" s="39" t="s">
        <v>155</v>
      </c>
      <c r="H304" s="42" t="e">
        <f>H305+H314+H317+H319+H323+H326+H328+H348+H371+H376</f>
        <v>#REF!</v>
      </c>
      <c r="I304" s="42">
        <f>I305+I314+I317+I319+I323+I326+I328+I348+I371+I376+I379+I380</f>
        <v>495121.736</v>
      </c>
      <c r="J304" s="42">
        <f>J305+J314+J317+J319+J323+J326+J328+J348+J371+J376</f>
        <v>559334.7039999999</v>
      </c>
      <c r="K304" s="42"/>
      <c r="L304" s="42"/>
      <c r="M304" s="42"/>
      <c r="N304" s="42">
        <f>N305+N314+N317+N319+N323+N326+N328+N348+N371+N376+N382</f>
        <v>629796.6512</v>
      </c>
      <c r="O304" s="42"/>
      <c r="P304" s="42"/>
      <c r="Q304" s="42">
        <f>Q305+Q314+Q317+Q319+Q323+Q326+Q328+Q348+Q371+Q376+Q382</f>
        <v>797401.0300439999</v>
      </c>
      <c r="R304" s="35">
        <f t="shared" si="72"/>
        <v>126.61245951763166</v>
      </c>
      <c r="S304" s="42"/>
      <c r="T304" s="42">
        <f>T305+T314+T317+T319+T323+T326+T328+T348+T371+T376+T382</f>
        <v>763427.6624035201</v>
      </c>
      <c r="U304" s="42">
        <f>U305+U314+U317+U319+U323+U326+U328+U348+U371+U376+U382</f>
        <v>801018.6232358019</v>
      </c>
      <c r="V304" s="46"/>
      <c r="W304" s="37">
        <f t="shared" si="75"/>
        <v>112.96912725318123</v>
      </c>
      <c r="X304" s="37">
        <f t="shared" si="76"/>
        <v>112.59745670992731</v>
      </c>
    </row>
    <row r="305" spans="1:25" ht="12.75">
      <c r="A305" s="39"/>
      <c r="B305" s="40"/>
      <c r="C305" s="39"/>
      <c r="D305" s="41">
        <v>2</v>
      </c>
      <c r="E305" s="39"/>
      <c r="F305" s="39"/>
      <c r="G305" s="45" t="s">
        <v>156</v>
      </c>
      <c r="H305" s="42">
        <f>H306+H308+H311</f>
        <v>114000</v>
      </c>
      <c r="I305" s="42">
        <f>I306+I308+I311+I313</f>
        <v>125700</v>
      </c>
      <c r="J305" s="42">
        <f>J306+J308+J311</f>
        <v>132359</v>
      </c>
      <c r="K305" s="42">
        <f>K306+K308+K311</f>
        <v>0</v>
      </c>
      <c r="L305" s="42">
        <v>141624</v>
      </c>
      <c r="M305" s="42"/>
      <c r="N305" s="42">
        <f>N306+N308+N311+N313</f>
        <v>105624</v>
      </c>
      <c r="O305" s="42">
        <f aca="true" t="shared" si="77" ref="O305:U305">O306+O308+O311+O313</f>
        <v>0</v>
      </c>
      <c r="P305" s="42"/>
      <c r="Q305" s="42">
        <f>Q306+Q308+Q311+Q313</f>
        <v>246152.78</v>
      </c>
      <c r="R305" s="35">
        <f t="shared" si="72"/>
        <v>233.04625842611526</v>
      </c>
      <c r="S305" s="42"/>
      <c r="T305" s="42">
        <f t="shared" si="77"/>
        <v>122059.09440000002</v>
      </c>
      <c r="U305" s="42">
        <f t="shared" si="77"/>
        <v>131823.82195200003</v>
      </c>
      <c r="V305" s="48"/>
      <c r="W305" s="37">
        <f t="shared" si="75"/>
        <v>105.2975338106603</v>
      </c>
      <c r="X305" s="37">
        <f t="shared" si="76"/>
        <v>79.80114688083168</v>
      </c>
      <c r="Y305" s="44">
        <v>-4500</v>
      </c>
    </row>
    <row r="306" spans="1:24" ht="12.75">
      <c r="A306" s="39"/>
      <c r="B306" s="40"/>
      <c r="C306" s="39"/>
      <c r="D306" s="41"/>
      <c r="E306" s="39">
        <v>100</v>
      </c>
      <c r="F306" s="39"/>
      <c r="G306" s="39" t="s">
        <v>157</v>
      </c>
      <c r="H306" s="42">
        <f aca="true" t="shared" si="78" ref="H306:U306">H307</f>
        <v>70000</v>
      </c>
      <c r="I306" s="42">
        <f t="shared" si="78"/>
        <v>75000</v>
      </c>
      <c r="J306" s="42">
        <f t="shared" si="78"/>
        <v>70000</v>
      </c>
      <c r="K306" s="42">
        <f t="shared" si="78"/>
        <v>0</v>
      </c>
      <c r="L306" s="42">
        <f t="shared" si="78"/>
        <v>0</v>
      </c>
      <c r="M306" s="42">
        <f t="shared" si="78"/>
        <v>0</v>
      </c>
      <c r="N306" s="42">
        <f t="shared" si="78"/>
        <v>61375</v>
      </c>
      <c r="O306" s="42"/>
      <c r="P306" s="42">
        <v>70000</v>
      </c>
      <c r="Q306" s="42">
        <v>65524</v>
      </c>
      <c r="R306" s="35">
        <f t="shared" si="72"/>
        <v>106.7600814663951</v>
      </c>
      <c r="S306" s="42"/>
      <c r="T306" s="42">
        <f t="shared" si="78"/>
        <v>70924.95000000001</v>
      </c>
      <c r="U306" s="42">
        <f t="shared" si="78"/>
        <v>76598.94600000001</v>
      </c>
      <c r="V306" s="46"/>
      <c r="W306" s="37">
        <f t="shared" si="75"/>
        <v>93.33333333333333</v>
      </c>
      <c r="X306" s="37">
        <f t="shared" si="76"/>
        <v>87.67857142857143</v>
      </c>
    </row>
    <row r="307" spans="1:24" ht="12.75">
      <c r="A307" s="39"/>
      <c r="B307" s="40"/>
      <c r="C307" s="39"/>
      <c r="D307" s="41"/>
      <c r="E307" s="39"/>
      <c r="F307" s="39">
        <v>149</v>
      </c>
      <c r="G307" s="39" t="s">
        <v>43</v>
      </c>
      <c r="H307" s="42">
        <v>70000</v>
      </c>
      <c r="I307" s="42">
        <v>75000</v>
      </c>
      <c r="J307" s="42">
        <v>70000</v>
      </c>
      <c r="K307" s="42"/>
      <c r="L307" s="42"/>
      <c r="M307" s="42"/>
      <c r="N307" s="42">
        <v>61375</v>
      </c>
      <c r="O307" s="42"/>
      <c r="P307" s="42"/>
      <c r="Q307" s="42">
        <f>N307*1.07</f>
        <v>65671.25</v>
      </c>
      <c r="R307" s="35">
        <f t="shared" si="72"/>
        <v>107</v>
      </c>
      <c r="S307" s="42"/>
      <c r="T307" s="42">
        <f>Q307*1.08</f>
        <v>70924.95000000001</v>
      </c>
      <c r="U307" s="42">
        <f>T307*1.08</f>
        <v>76598.94600000001</v>
      </c>
      <c r="V307" s="46"/>
      <c r="W307" s="37">
        <f t="shared" si="75"/>
        <v>93.33333333333333</v>
      </c>
      <c r="X307" s="37">
        <f t="shared" si="76"/>
        <v>87.67857142857143</v>
      </c>
    </row>
    <row r="308" spans="1:24" ht="25.5">
      <c r="A308" s="39"/>
      <c r="B308" s="40"/>
      <c r="C308" s="39"/>
      <c r="D308" s="41"/>
      <c r="E308" s="39">
        <v>101</v>
      </c>
      <c r="F308" s="39"/>
      <c r="G308" s="39" t="s">
        <v>158</v>
      </c>
      <c r="H308" s="42">
        <f>H309+H310</f>
        <v>25000</v>
      </c>
      <c r="I308" s="42">
        <f>SUM(I309:I310)</f>
        <v>27000</v>
      </c>
      <c r="J308" s="42">
        <f>J309+J310</f>
        <v>23000</v>
      </c>
      <c r="K308" s="42">
        <f>K309+K310</f>
        <v>0</v>
      </c>
      <c r="L308" s="42">
        <f>L309+L310</f>
        <v>0</v>
      </c>
      <c r="M308" s="42">
        <f>M309+M310</f>
        <v>0</v>
      </c>
      <c r="N308" s="42">
        <f>N309+N310</f>
        <v>15154</v>
      </c>
      <c r="O308" s="42"/>
      <c r="P308" s="42">
        <v>18750</v>
      </c>
      <c r="Q308" s="42">
        <f>Q309+Q310+72+6823+1568</f>
        <v>24677.78</v>
      </c>
      <c r="R308" s="35">
        <f t="shared" si="72"/>
        <v>162.84664115085127</v>
      </c>
      <c r="S308" s="42"/>
      <c r="T308" s="42">
        <f>T309+T310</f>
        <v>17511.9624</v>
      </c>
      <c r="U308" s="42">
        <f>U309+U310</f>
        <v>18912.919392000003</v>
      </c>
      <c r="V308" s="46"/>
      <c r="W308" s="37">
        <f t="shared" si="75"/>
        <v>85.18518518518519</v>
      </c>
      <c r="X308" s="37">
        <f t="shared" si="76"/>
        <v>65.88695652173912</v>
      </c>
    </row>
    <row r="309" spans="1:24" ht="12.75">
      <c r="A309" s="39"/>
      <c r="B309" s="40"/>
      <c r="C309" s="39"/>
      <c r="D309" s="41"/>
      <c r="E309" s="39"/>
      <c r="F309" s="39">
        <v>149</v>
      </c>
      <c r="G309" s="39" t="s">
        <v>43</v>
      </c>
      <c r="H309" s="42">
        <v>11000</v>
      </c>
      <c r="I309" s="42">
        <v>16020</v>
      </c>
      <c r="J309" s="42">
        <v>13800</v>
      </c>
      <c r="K309" s="42"/>
      <c r="L309" s="42"/>
      <c r="M309" s="42"/>
      <c r="N309" s="42">
        <v>13154</v>
      </c>
      <c r="O309" s="42"/>
      <c r="P309" s="42"/>
      <c r="Q309" s="42">
        <f>N309*1.07</f>
        <v>14074.78</v>
      </c>
      <c r="R309" s="35">
        <f t="shared" si="72"/>
        <v>107</v>
      </c>
      <c r="S309" s="42"/>
      <c r="T309" s="42">
        <f>Q309*1.08</f>
        <v>15200.762400000001</v>
      </c>
      <c r="U309" s="42">
        <f>T309*1.08</f>
        <v>16416.823392000002</v>
      </c>
      <c r="V309" s="46"/>
      <c r="W309" s="37">
        <f t="shared" si="75"/>
        <v>86.14232209737828</v>
      </c>
      <c r="X309" s="37">
        <f t="shared" si="76"/>
        <v>95.31884057971014</v>
      </c>
    </row>
    <row r="310" spans="1:24" ht="12.75">
      <c r="A310" s="39"/>
      <c r="B310" s="40"/>
      <c r="C310" s="39"/>
      <c r="D310" s="41"/>
      <c r="E310" s="39"/>
      <c r="F310" s="39">
        <v>332</v>
      </c>
      <c r="G310" s="39" t="s">
        <v>112</v>
      </c>
      <c r="H310" s="42">
        <v>14000</v>
      </c>
      <c r="I310" s="42">
        <v>10980</v>
      </c>
      <c r="J310" s="42">
        <v>9200</v>
      </c>
      <c r="K310" s="42"/>
      <c r="L310" s="42"/>
      <c r="M310" s="42"/>
      <c r="N310" s="42">
        <v>2000</v>
      </c>
      <c r="O310" s="42"/>
      <c r="P310" s="42"/>
      <c r="Q310" s="42">
        <f>N310*1.07</f>
        <v>2140</v>
      </c>
      <c r="R310" s="35">
        <f t="shared" si="72"/>
        <v>107</v>
      </c>
      <c r="S310" s="42"/>
      <c r="T310" s="42">
        <f>Q310*1.08</f>
        <v>2311.2000000000003</v>
      </c>
      <c r="U310" s="42">
        <f>T310*1.08</f>
        <v>2496.0960000000005</v>
      </c>
      <c r="V310" s="46"/>
      <c r="W310" s="37">
        <f t="shared" si="75"/>
        <v>83.7887067395264</v>
      </c>
      <c r="X310" s="37">
        <f t="shared" si="76"/>
        <v>21.73913043478261</v>
      </c>
    </row>
    <row r="311" spans="1:24" ht="25.5">
      <c r="A311" s="39"/>
      <c r="B311" s="40"/>
      <c r="C311" s="39"/>
      <c r="D311" s="41"/>
      <c r="E311" s="39">
        <v>102</v>
      </c>
      <c r="F311" s="39"/>
      <c r="G311" s="39" t="s">
        <v>159</v>
      </c>
      <c r="H311" s="42">
        <f aca="true" t="shared" si="79" ref="H311:U311">H312</f>
        <v>19000</v>
      </c>
      <c r="I311" s="42">
        <f t="shared" si="79"/>
        <v>23700</v>
      </c>
      <c r="J311" s="42">
        <f t="shared" si="79"/>
        <v>39359</v>
      </c>
      <c r="K311" s="42">
        <f t="shared" si="79"/>
        <v>0</v>
      </c>
      <c r="L311" s="42">
        <f t="shared" si="79"/>
        <v>0</v>
      </c>
      <c r="M311" s="42">
        <f t="shared" si="79"/>
        <v>0</v>
      </c>
      <c r="N311" s="42">
        <f t="shared" si="79"/>
        <v>29095</v>
      </c>
      <c r="O311" s="42"/>
      <c r="P311" s="42">
        <v>44359</v>
      </c>
      <c r="Q311" s="42">
        <v>23207</v>
      </c>
      <c r="R311" s="35">
        <f t="shared" si="72"/>
        <v>79.76284584980236</v>
      </c>
      <c r="S311" s="42"/>
      <c r="T311" s="42">
        <f t="shared" si="79"/>
        <v>33622.182</v>
      </c>
      <c r="U311" s="42">
        <f t="shared" si="79"/>
        <v>36311.956560000006</v>
      </c>
      <c r="V311" s="3"/>
      <c r="W311" s="37">
        <f t="shared" si="75"/>
        <v>166.0717299578059</v>
      </c>
      <c r="X311" s="37">
        <f t="shared" si="76"/>
        <v>73.92210167941259</v>
      </c>
    </row>
    <row r="312" spans="1:24" ht="12.75">
      <c r="A312" s="39"/>
      <c r="B312" s="40"/>
      <c r="C312" s="39"/>
      <c r="D312" s="41"/>
      <c r="E312" s="39"/>
      <c r="F312" s="39">
        <v>149</v>
      </c>
      <c r="G312" s="39" t="s">
        <v>43</v>
      </c>
      <c r="H312" s="42">
        <v>19000</v>
      </c>
      <c r="I312" s="42">
        <v>23700</v>
      </c>
      <c r="J312" s="42">
        <v>39359</v>
      </c>
      <c r="K312" s="42"/>
      <c r="L312" s="42"/>
      <c r="M312" s="42"/>
      <c r="N312" s="42">
        <v>29095</v>
      </c>
      <c r="O312" s="42"/>
      <c r="P312" s="42"/>
      <c r="Q312" s="42">
        <f>N312*1.07</f>
        <v>31131.65</v>
      </c>
      <c r="R312" s="35">
        <f t="shared" si="72"/>
        <v>107</v>
      </c>
      <c r="S312" s="42"/>
      <c r="T312" s="42">
        <f>Q312*1.08</f>
        <v>33622.182</v>
      </c>
      <c r="U312" s="42">
        <f>T312*1.08</f>
        <v>36311.956560000006</v>
      </c>
      <c r="V312" s="48"/>
      <c r="W312" s="37">
        <f t="shared" si="75"/>
        <v>166.0717299578059</v>
      </c>
      <c r="X312" s="37">
        <f t="shared" si="76"/>
        <v>73.92210167941259</v>
      </c>
    </row>
    <row r="313" spans="1:24" ht="51">
      <c r="A313" s="39"/>
      <c r="B313" s="40"/>
      <c r="C313" s="39"/>
      <c r="D313" s="41"/>
      <c r="E313" s="39">
        <v>104</v>
      </c>
      <c r="F313" s="39"/>
      <c r="G313" s="39" t="s">
        <v>160</v>
      </c>
      <c r="H313" s="42"/>
      <c r="I313" s="42"/>
      <c r="J313" s="42"/>
      <c r="K313" s="42"/>
      <c r="L313" s="42"/>
      <c r="M313" s="42"/>
      <c r="N313" s="42"/>
      <c r="O313" s="42"/>
      <c r="P313" s="42"/>
      <c r="Q313" s="42">
        <f>52357+80387</f>
        <v>132744</v>
      </c>
      <c r="R313" s="35" t="e">
        <f t="shared" si="72"/>
        <v>#DIV/0!</v>
      </c>
      <c r="S313" s="42"/>
      <c r="T313" s="47"/>
      <c r="U313" s="35"/>
      <c r="V313" s="46"/>
      <c r="W313" s="37"/>
      <c r="X313" s="37"/>
    </row>
    <row r="314" spans="1:25" ht="12.75">
      <c r="A314" s="39"/>
      <c r="B314" s="40"/>
      <c r="C314" s="39"/>
      <c r="D314" s="41">
        <v>5</v>
      </c>
      <c r="E314" s="39"/>
      <c r="F314" s="39"/>
      <c r="G314" s="45" t="s">
        <v>161</v>
      </c>
      <c r="H314" s="42">
        <f>H315</f>
        <v>12020</v>
      </c>
      <c r="I314" s="42">
        <f>I315</f>
        <v>13216</v>
      </c>
      <c r="J314" s="42">
        <f>J315</f>
        <v>15611</v>
      </c>
      <c r="K314" s="42">
        <f>10611-5000</f>
        <v>5611</v>
      </c>
      <c r="L314" s="42">
        <v>14661</v>
      </c>
      <c r="M314" s="42">
        <v>16704</v>
      </c>
      <c r="N314" s="42">
        <f>N315</f>
        <v>10604</v>
      </c>
      <c r="O314" s="42"/>
      <c r="P314" s="42">
        <v>5511</v>
      </c>
      <c r="Q314" s="42">
        <f>Q315-4000</f>
        <v>6922.120000000001</v>
      </c>
      <c r="R314" s="35">
        <f t="shared" si="72"/>
        <v>65.27838551490005</v>
      </c>
      <c r="S314" s="42"/>
      <c r="T314" s="42">
        <f>T315-3700</f>
        <v>8095.889600000002</v>
      </c>
      <c r="U314" s="42">
        <f>U315-4000</f>
        <v>8739.560768000003</v>
      </c>
      <c r="V314" s="48"/>
      <c r="W314" s="37">
        <f aca="true" t="shared" si="80" ref="W314:W319">J314/I314*100</f>
        <v>118.12197336561742</v>
      </c>
      <c r="X314" s="37">
        <f aca="true" t="shared" si="81" ref="X314:X319">N314/J314*100</f>
        <v>67.92646211005061</v>
      </c>
      <c r="Y314" s="44">
        <v>-7000</v>
      </c>
    </row>
    <row r="315" spans="1:24" ht="12.75">
      <c r="A315" s="39"/>
      <c r="B315" s="40"/>
      <c r="C315" s="39"/>
      <c r="D315" s="41"/>
      <c r="E315" s="39" t="s">
        <v>106</v>
      </c>
      <c r="F315" s="39"/>
      <c r="G315" s="39" t="s">
        <v>162</v>
      </c>
      <c r="H315" s="42">
        <f>H316</f>
        <v>12020</v>
      </c>
      <c r="I315" s="42">
        <f>I316</f>
        <v>13216</v>
      </c>
      <c r="J315" s="42">
        <f>J316</f>
        <v>15611</v>
      </c>
      <c r="K315" s="42"/>
      <c r="L315" s="42"/>
      <c r="M315" s="42"/>
      <c r="N315" s="42">
        <v>10604</v>
      </c>
      <c r="O315" s="42"/>
      <c r="P315" s="42"/>
      <c r="Q315" s="42">
        <f>Q316</f>
        <v>10922.12</v>
      </c>
      <c r="R315" s="35">
        <f t="shared" si="72"/>
        <v>103</v>
      </c>
      <c r="S315" s="42"/>
      <c r="T315" s="42">
        <f>T316</f>
        <v>11795.889600000002</v>
      </c>
      <c r="U315" s="42">
        <f>U316</f>
        <v>12739.560768000003</v>
      </c>
      <c r="V315" s="46"/>
      <c r="W315" s="37">
        <f t="shared" si="80"/>
        <v>118.12197336561742</v>
      </c>
      <c r="X315" s="37">
        <f t="shared" si="81"/>
        <v>67.92646211005061</v>
      </c>
    </row>
    <row r="316" spans="1:24" ht="12.75">
      <c r="A316" s="39"/>
      <c r="B316" s="40"/>
      <c r="C316" s="39"/>
      <c r="D316" s="41"/>
      <c r="E316" s="39"/>
      <c r="F316" s="39">
        <v>332</v>
      </c>
      <c r="G316" s="31" t="s">
        <v>161</v>
      </c>
      <c r="H316" s="42">
        <v>12020</v>
      </c>
      <c r="I316" s="42">
        <v>13216</v>
      </c>
      <c r="J316" s="42">
        <v>15611</v>
      </c>
      <c r="K316" s="42"/>
      <c r="L316" s="42"/>
      <c r="M316" s="42"/>
      <c r="N316" s="42">
        <v>10604</v>
      </c>
      <c r="O316" s="42"/>
      <c r="P316" s="42"/>
      <c r="Q316" s="42">
        <f>N316*1.03</f>
        <v>10922.12</v>
      </c>
      <c r="R316" s="35">
        <f t="shared" si="72"/>
        <v>103</v>
      </c>
      <c r="S316" s="42"/>
      <c r="T316" s="47">
        <f>Q316*1.08</f>
        <v>11795.889600000002</v>
      </c>
      <c r="U316" s="47">
        <f>T316*1.08</f>
        <v>12739.560768000003</v>
      </c>
      <c r="V316" s="46"/>
      <c r="W316" s="37">
        <f t="shared" si="80"/>
        <v>118.12197336561742</v>
      </c>
      <c r="X316" s="37">
        <f t="shared" si="81"/>
        <v>67.92646211005061</v>
      </c>
    </row>
    <row r="317" spans="1:24" ht="12.75">
      <c r="A317" s="39"/>
      <c r="B317" s="40"/>
      <c r="C317" s="39"/>
      <c r="D317" s="41">
        <v>6</v>
      </c>
      <c r="E317" s="39"/>
      <c r="F317" s="39"/>
      <c r="G317" s="45" t="s">
        <v>163</v>
      </c>
      <c r="H317" s="42">
        <f>H318</f>
        <v>65000</v>
      </c>
      <c r="I317" s="42">
        <f>I318</f>
        <v>70200</v>
      </c>
      <c r="J317" s="42">
        <f>J318</f>
        <v>65666</v>
      </c>
      <c r="K317" s="42">
        <f>65666-2466</f>
        <v>63200</v>
      </c>
      <c r="L317" s="42">
        <v>70263</v>
      </c>
      <c r="M317" s="42"/>
      <c r="N317" s="42">
        <f>N318</f>
        <v>130263</v>
      </c>
      <c r="O317" s="42"/>
      <c r="P317" s="42">
        <v>63200</v>
      </c>
      <c r="Q317" s="42">
        <f>Q318</f>
        <v>75200</v>
      </c>
      <c r="R317" s="35">
        <f t="shared" si="72"/>
        <v>57.72936290427827</v>
      </c>
      <c r="S317" s="42"/>
      <c r="T317" s="42">
        <f>T318</f>
        <v>81216</v>
      </c>
      <c r="U317" s="42">
        <f>U318</f>
        <v>87713.28</v>
      </c>
      <c r="V317" s="46"/>
      <c r="W317" s="37">
        <f t="shared" si="80"/>
        <v>93.54131054131054</v>
      </c>
      <c r="X317" s="37">
        <f t="shared" si="81"/>
        <v>198.3720646910121</v>
      </c>
    </row>
    <row r="318" spans="1:24" ht="12.75">
      <c r="A318" s="39"/>
      <c r="B318" s="40"/>
      <c r="C318" s="39"/>
      <c r="D318" s="41"/>
      <c r="E318" s="39"/>
      <c r="F318" s="39">
        <v>332</v>
      </c>
      <c r="G318" s="39" t="s">
        <v>112</v>
      </c>
      <c r="H318" s="42">
        <v>65000</v>
      </c>
      <c r="I318" s="42">
        <v>70200</v>
      </c>
      <c r="J318" s="42">
        <v>65666</v>
      </c>
      <c r="K318" s="42"/>
      <c r="L318" s="42"/>
      <c r="M318" s="42"/>
      <c r="N318" s="42">
        <f>130263</f>
        <v>130263</v>
      </c>
      <c r="O318" s="42"/>
      <c r="P318" s="42"/>
      <c r="Q318" s="42">
        <v>75200</v>
      </c>
      <c r="R318" s="35">
        <f t="shared" si="72"/>
        <v>57.72936290427827</v>
      </c>
      <c r="S318" s="42"/>
      <c r="T318" s="42">
        <f>Q318*1.08</f>
        <v>81216</v>
      </c>
      <c r="U318" s="42">
        <f>T318*1.08</f>
        <v>87713.28</v>
      </c>
      <c r="V318" s="46"/>
      <c r="W318" s="37">
        <f t="shared" si="80"/>
        <v>93.54131054131054</v>
      </c>
      <c r="X318" s="37">
        <f t="shared" si="81"/>
        <v>198.3720646910121</v>
      </c>
    </row>
    <row r="319" spans="1:24" ht="38.25">
      <c r="A319" s="39"/>
      <c r="B319" s="40"/>
      <c r="C319" s="39"/>
      <c r="D319" s="41">
        <v>7</v>
      </c>
      <c r="E319" s="39" t="s">
        <v>67</v>
      </c>
      <c r="F319" s="39"/>
      <c r="G319" s="45" t="s">
        <v>164</v>
      </c>
      <c r="H319" s="42">
        <f>H321+H322</f>
        <v>126000</v>
      </c>
      <c r="I319" s="42">
        <f>I321+I322</f>
        <v>126000</v>
      </c>
      <c r="J319" s="42">
        <f>J320</f>
        <v>134820</v>
      </c>
      <c r="K319" s="42">
        <v>134820</v>
      </c>
      <c r="L319" s="42">
        <v>144257</v>
      </c>
      <c r="M319" s="42"/>
      <c r="N319" s="42">
        <f>N320</f>
        <v>135257</v>
      </c>
      <c r="O319" s="42"/>
      <c r="P319" s="42">
        <v>381469</v>
      </c>
      <c r="Q319" s="42">
        <f>Q320+12000</f>
        <v>147617.99000000002</v>
      </c>
      <c r="R319" s="35">
        <f t="shared" si="72"/>
        <v>109.13889114796278</v>
      </c>
      <c r="S319" s="42"/>
      <c r="T319" s="42">
        <f>T320+62000</f>
        <v>208467.42920000004</v>
      </c>
      <c r="U319" s="42">
        <f>U320+62000</f>
        <v>220184.82353600007</v>
      </c>
      <c r="V319" s="46"/>
      <c r="W319" s="37">
        <f t="shared" si="80"/>
        <v>107</v>
      </c>
      <c r="X319" s="37">
        <f t="shared" si="81"/>
        <v>100.32413588488356</v>
      </c>
    </row>
    <row r="320" spans="1:24" ht="12.75">
      <c r="A320" s="39"/>
      <c r="B320" s="40"/>
      <c r="C320" s="39"/>
      <c r="D320" s="41"/>
      <c r="E320" s="39" t="s">
        <v>165</v>
      </c>
      <c r="F320" s="39"/>
      <c r="G320" s="31" t="s">
        <v>166</v>
      </c>
      <c r="H320" s="42"/>
      <c r="I320" s="42"/>
      <c r="J320" s="42">
        <f>J321+J322</f>
        <v>134820</v>
      </c>
      <c r="K320" s="42"/>
      <c r="L320" s="42"/>
      <c r="M320" s="42"/>
      <c r="N320" s="42">
        <v>135257</v>
      </c>
      <c r="O320" s="42"/>
      <c r="P320" s="42"/>
      <c r="Q320" s="42">
        <f>Q321+Q322</f>
        <v>135617.99000000002</v>
      </c>
      <c r="R320" s="35">
        <f t="shared" si="72"/>
        <v>100.26689191686937</v>
      </c>
      <c r="S320" s="42"/>
      <c r="T320" s="42">
        <f>T321+T322</f>
        <v>146467.42920000004</v>
      </c>
      <c r="U320" s="42">
        <f>U321+U322</f>
        <v>158184.82353600007</v>
      </c>
      <c r="V320" s="46"/>
      <c r="W320" s="37"/>
      <c r="X320" s="37"/>
    </row>
    <row r="321" spans="1:24" ht="12.75">
      <c r="A321" s="39"/>
      <c r="B321" s="40"/>
      <c r="C321" s="39"/>
      <c r="D321" s="41"/>
      <c r="E321" s="39"/>
      <c r="F321" s="39">
        <v>149</v>
      </c>
      <c r="G321" s="39" t="s">
        <v>43</v>
      </c>
      <c r="H321" s="42"/>
      <c r="I321" s="42">
        <f>H321+(H321*0.08)</f>
        <v>0</v>
      </c>
      <c r="J321" s="42">
        <f>I321+(I321*0.075)</f>
        <v>0</v>
      </c>
      <c r="K321" s="42"/>
      <c r="L321" s="42"/>
      <c r="M321" s="42"/>
      <c r="N321" s="42">
        <f>J321+(J321*0.07)</f>
        <v>0</v>
      </c>
      <c r="O321" s="42"/>
      <c r="P321" s="42"/>
      <c r="Q321" s="42">
        <f>N321*1.07</f>
        <v>0</v>
      </c>
      <c r="R321" s="35" t="e">
        <f t="shared" si="72"/>
        <v>#DIV/0!</v>
      </c>
      <c r="S321" s="42"/>
      <c r="T321" s="47"/>
      <c r="U321" s="35"/>
      <c r="V321" s="46"/>
      <c r="W321" s="37"/>
      <c r="X321" s="37"/>
    </row>
    <row r="322" spans="1:24" ht="12.75">
      <c r="A322" s="39"/>
      <c r="B322" s="40"/>
      <c r="C322" s="39"/>
      <c r="D322" s="41"/>
      <c r="E322" s="39"/>
      <c r="F322" s="39">
        <v>332</v>
      </c>
      <c r="G322" s="39" t="s">
        <v>112</v>
      </c>
      <c r="H322" s="42">
        <v>126000</v>
      </c>
      <c r="I322" s="42">
        <f>150000-24000</f>
        <v>126000</v>
      </c>
      <c r="J322" s="42">
        <f>I322*1.07</f>
        <v>134820</v>
      </c>
      <c r="K322" s="42"/>
      <c r="L322" s="42"/>
      <c r="M322" s="42"/>
      <c r="N322" s="42">
        <f>135257</f>
        <v>135257</v>
      </c>
      <c r="O322" s="42"/>
      <c r="P322" s="42"/>
      <c r="Q322" s="42">
        <f>N322*1.07-9107</f>
        <v>135617.99000000002</v>
      </c>
      <c r="R322" s="35">
        <f t="shared" si="72"/>
        <v>100.26689191686937</v>
      </c>
      <c r="S322" s="42"/>
      <c r="T322" s="42">
        <f>Q322*1.08</f>
        <v>146467.42920000004</v>
      </c>
      <c r="U322" s="42">
        <f>T322*1.08</f>
        <v>158184.82353600007</v>
      </c>
      <c r="V322" s="46"/>
      <c r="W322" s="37">
        <f aca="true" t="shared" si="82" ref="W322:W328">J322/I322*100</f>
        <v>107</v>
      </c>
      <c r="X322" s="37">
        <f aca="true" t="shared" si="83" ref="X322:X328">N322/J322*100</f>
        <v>100.32413588488356</v>
      </c>
    </row>
    <row r="323" spans="1:24" ht="25.5">
      <c r="A323" s="39"/>
      <c r="B323" s="40"/>
      <c r="C323" s="39"/>
      <c r="D323" s="41">
        <v>8</v>
      </c>
      <c r="E323" s="39"/>
      <c r="F323" s="39"/>
      <c r="G323" s="45" t="s">
        <v>167</v>
      </c>
      <c r="H323" s="42">
        <f>H324</f>
        <v>7560</v>
      </c>
      <c r="I323" s="42">
        <f>I324</f>
        <v>8164.8</v>
      </c>
      <c r="J323" s="42">
        <f>J324</f>
        <v>8736</v>
      </c>
      <c r="K323" s="42">
        <v>8736</v>
      </c>
      <c r="L323" s="42">
        <v>9348</v>
      </c>
      <c r="M323" s="42"/>
      <c r="N323" s="42">
        <f>N324</f>
        <v>9347.52</v>
      </c>
      <c r="O323" s="42"/>
      <c r="P323" s="42">
        <v>8736</v>
      </c>
      <c r="Q323" s="42">
        <f>Q324</f>
        <v>10001.8464</v>
      </c>
      <c r="R323" s="35">
        <f t="shared" si="72"/>
        <v>107</v>
      </c>
      <c r="S323" s="42"/>
      <c r="T323" s="42">
        <f>T324</f>
        <v>10801.994112</v>
      </c>
      <c r="U323" s="42">
        <f>U324</f>
        <v>11666.153640960001</v>
      </c>
      <c r="V323" s="46"/>
      <c r="W323" s="37">
        <f t="shared" si="82"/>
        <v>106.99588477366255</v>
      </c>
      <c r="X323" s="37">
        <f t="shared" si="83"/>
        <v>107</v>
      </c>
    </row>
    <row r="324" spans="1:24" ht="38.25">
      <c r="A324" s="39"/>
      <c r="B324" s="40"/>
      <c r="C324" s="39"/>
      <c r="D324" s="41"/>
      <c r="E324" s="39">
        <v>100</v>
      </c>
      <c r="F324" s="39"/>
      <c r="G324" s="39" t="s">
        <v>168</v>
      </c>
      <c r="H324" s="42">
        <f>H325</f>
        <v>7560</v>
      </c>
      <c r="I324" s="42">
        <f>I325</f>
        <v>8164.8</v>
      </c>
      <c r="J324" s="42">
        <f>J325</f>
        <v>8736</v>
      </c>
      <c r="K324" s="42"/>
      <c r="L324" s="42"/>
      <c r="M324" s="42"/>
      <c r="N324" s="42">
        <f>N325</f>
        <v>9347.52</v>
      </c>
      <c r="O324" s="42"/>
      <c r="P324" s="42"/>
      <c r="Q324" s="42">
        <f>Q325</f>
        <v>10001.8464</v>
      </c>
      <c r="R324" s="35">
        <f t="shared" si="72"/>
        <v>107</v>
      </c>
      <c r="S324" s="42"/>
      <c r="T324" s="42">
        <f>T325</f>
        <v>10801.994112</v>
      </c>
      <c r="U324" s="42">
        <f>U325</f>
        <v>11666.153640960001</v>
      </c>
      <c r="V324" s="48"/>
      <c r="W324" s="37">
        <f t="shared" si="82"/>
        <v>106.99588477366255</v>
      </c>
      <c r="X324" s="37">
        <f t="shared" si="83"/>
        <v>107</v>
      </c>
    </row>
    <row r="325" spans="1:24" ht="12.75">
      <c r="A325" s="39"/>
      <c r="B325" s="40"/>
      <c r="C325" s="39"/>
      <c r="D325" s="41"/>
      <c r="E325" s="39"/>
      <c r="F325" s="39">
        <v>149</v>
      </c>
      <c r="G325" s="39" t="s">
        <v>43</v>
      </c>
      <c r="H325" s="42">
        <v>7560</v>
      </c>
      <c r="I325" s="42">
        <f>H325+(H325*0.08)</f>
        <v>8164.8</v>
      </c>
      <c r="J325" s="42">
        <v>8736</v>
      </c>
      <c r="K325" s="42"/>
      <c r="L325" s="42"/>
      <c r="M325" s="42"/>
      <c r="N325" s="42">
        <f>J325+(J325*0.07)</f>
        <v>9347.52</v>
      </c>
      <c r="O325" s="42"/>
      <c r="P325" s="42"/>
      <c r="Q325" s="42">
        <f>N325+(N325*0.07)</f>
        <v>10001.8464</v>
      </c>
      <c r="R325" s="35">
        <f t="shared" si="72"/>
        <v>107</v>
      </c>
      <c r="S325" s="42"/>
      <c r="T325" s="42">
        <f>Q325+(Q325*0.08)</f>
        <v>10801.994112</v>
      </c>
      <c r="U325" s="42">
        <f>T325+(T325*0.08)</f>
        <v>11666.153640960001</v>
      </c>
      <c r="V325" s="46"/>
      <c r="W325" s="37">
        <f t="shared" si="82"/>
        <v>106.99588477366255</v>
      </c>
      <c r="X325" s="37">
        <f t="shared" si="83"/>
        <v>107</v>
      </c>
    </row>
    <row r="326" spans="1:24" ht="25.5">
      <c r="A326" s="39"/>
      <c r="B326" s="40"/>
      <c r="C326" s="39"/>
      <c r="D326" s="41">
        <v>10</v>
      </c>
      <c r="E326" s="39"/>
      <c r="F326" s="39"/>
      <c r="G326" s="45" t="s">
        <v>169</v>
      </c>
      <c r="H326" s="42">
        <f aca="true" t="shared" si="84" ref="H326:N326">H327</f>
        <v>11732</v>
      </c>
      <c r="I326" s="42">
        <f t="shared" si="84"/>
        <v>0</v>
      </c>
      <c r="J326" s="42">
        <f t="shared" si="84"/>
        <v>11323</v>
      </c>
      <c r="K326" s="42">
        <v>11323</v>
      </c>
      <c r="L326" s="42">
        <v>11923</v>
      </c>
      <c r="M326" s="42"/>
      <c r="N326" s="42">
        <f t="shared" si="84"/>
        <v>12115.61</v>
      </c>
      <c r="O326" s="42"/>
      <c r="P326" s="42">
        <v>11323</v>
      </c>
      <c r="Q326" s="42">
        <f>12944+1500</f>
        <v>14444</v>
      </c>
      <c r="R326" s="35">
        <f t="shared" si="72"/>
        <v>119.21809962519427</v>
      </c>
      <c r="S326" s="42"/>
      <c r="T326" s="42">
        <f>T327+2000</f>
        <v>16000.798916000003</v>
      </c>
      <c r="U326" s="42">
        <f>U327+2000</f>
        <v>17120.862829280006</v>
      </c>
      <c r="V326" s="48"/>
      <c r="W326" s="37" t="e">
        <f t="shared" si="82"/>
        <v>#DIV/0!</v>
      </c>
      <c r="X326" s="37">
        <f t="shared" si="83"/>
        <v>107</v>
      </c>
    </row>
    <row r="327" spans="1:24" ht="12.75">
      <c r="A327" s="39"/>
      <c r="B327" s="40"/>
      <c r="C327" s="39"/>
      <c r="D327" s="41"/>
      <c r="E327" s="39"/>
      <c r="F327" s="39">
        <v>332</v>
      </c>
      <c r="G327" s="39" t="s">
        <v>112</v>
      </c>
      <c r="H327" s="42">
        <v>11732</v>
      </c>
      <c r="I327" s="42"/>
      <c r="J327" s="42">
        <v>11323</v>
      </c>
      <c r="K327" s="42"/>
      <c r="L327" s="42"/>
      <c r="M327" s="42"/>
      <c r="N327" s="42">
        <f>J327*1.07</f>
        <v>12115.61</v>
      </c>
      <c r="O327" s="42"/>
      <c r="P327" s="42"/>
      <c r="Q327" s="42">
        <f>N327*1.07</f>
        <v>12963.702700000002</v>
      </c>
      <c r="R327" s="35">
        <f t="shared" si="72"/>
        <v>107</v>
      </c>
      <c r="S327" s="42"/>
      <c r="T327" s="47">
        <f>Q327*1.08</f>
        <v>14000.798916000003</v>
      </c>
      <c r="U327" s="47">
        <f>T327*1.08</f>
        <v>15120.862829280004</v>
      </c>
      <c r="V327" s="46"/>
      <c r="W327" s="37" t="e">
        <f t="shared" si="82"/>
        <v>#DIV/0!</v>
      </c>
      <c r="X327" s="37">
        <f t="shared" si="83"/>
        <v>107</v>
      </c>
    </row>
    <row r="328" spans="1:24" ht="25.5">
      <c r="A328" s="39"/>
      <c r="B328" s="40"/>
      <c r="C328" s="39"/>
      <c r="D328" s="41">
        <v>13</v>
      </c>
      <c r="E328" s="39"/>
      <c r="F328" s="39"/>
      <c r="G328" s="45" t="s">
        <v>170</v>
      </c>
      <c r="H328" s="42">
        <f>H332+H333+H334+H335+H336+H337+H338+H339+H340+H345+H346+H347</f>
        <v>13531</v>
      </c>
      <c r="I328" s="42">
        <f>SUM(I332:I347)</f>
        <v>15204.388</v>
      </c>
      <c r="J328" s="42">
        <f>J329+J331</f>
        <v>26505.559999999998</v>
      </c>
      <c r="K328" s="42">
        <v>26506</v>
      </c>
      <c r="L328" s="42">
        <v>20094</v>
      </c>
      <c r="M328" s="42">
        <v>28907</v>
      </c>
      <c r="N328" s="42">
        <f>SUM(N332:N347)</f>
        <v>26907.252200000003</v>
      </c>
      <c r="O328" s="42"/>
      <c r="P328" s="42">
        <v>24572</v>
      </c>
      <c r="Q328" s="42">
        <f>SUM(Q332:Q347)+8900+2500</f>
        <v>39087.054644</v>
      </c>
      <c r="R328" s="35">
        <f t="shared" si="72"/>
        <v>145.26587238811402</v>
      </c>
      <c r="S328" s="42"/>
      <c r="T328" s="42">
        <f>SUM(T332:T347)+13000</f>
        <v>41932.559575520005</v>
      </c>
      <c r="U328" s="42">
        <f>SUM(U332:U347)+13000</f>
        <v>43182.7513015616</v>
      </c>
      <c r="V328" s="48" t="s">
        <v>171</v>
      </c>
      <c r="W328" s="37">
        <f t="shared" si="82"/>
        <v>174.32835836601905</v>
      </c>
      <c r="X328" s="37">
        <f t="shared" si="83"/>
        <v>101.51550165323806</v>
      </c>
    </row>
    <row r="329" spans="1:24" ht="12.75">
      <c r="A329" s="39"/>
      <c r="B329" s="40"/>
      <c r="C329" s="39"/>
      <c r="D329" s="41"/>
      <c r="E329" s="39" t="s">
        <v>104</v>
      </c>
      <c r="F329" s="39"/>
      <c r="G329" s="31" t="s">
        <v>105</v>
      </c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35" t="e">
        <f t="shared" si="72"/>
        <v>#DIV/0!</v>
      </c>
      <c r="S329" s="42"/>
      <c r="T329" s="47"/>
      <c r="U329" s="35"/>
      <c r="V329" s="48"/>
      <c r="W329" s="37"/>
      <c r="X329" s="37"/>
    </row>
    <row r="330" spans="1:24" ht="12.75">
      <c r="A330" s="39"/>
      <c r="B330" s="40"/>
      <c r="C330" s="39"/>
      <c r="D330" s="41"/>
      <c r="E330" s="39"/>
      <c r="F330" s="39">
        <v>131</v>
      </c>
      <c r="G330" s="31" t="s">
        <v>110</v>
      </c>
      <c r="H330" s="42"/>
      <c r="I330" s="42"/>
      <c r="J330" s="42">
        <v>0</v>
      </c>
      <c r="K330" s="42"/>
      <c r="L330" s="42"/>
      <c r="M330" s="42"/>
      <c r="N330" s="42"/>
      <c r="O330" s="42"/>
      <c r="P330" s="42"/>
      <c r="Q330" s="42"/>
      <c r="R330" s="35" t="e">
        <f t="shared" si="72"/>
        <v>#DIV/0!</v>
      </c>
      <c r="S330" s="42"/>
      <c r="T330" s="47"/>
      <c r="U330" s="35"/>
      <c r="V330" s="48"/>
      <c r="W330" s="37"/>
      <c r="X330" s="37"/>
    </row>
    <row r="331" spans="1:24" ht="12.75">
      <c r="A331" s="39"/>
      <c r="B331" s="40"/>
      <c r="C331" s="39"/>
      <c r="D331" s="41"/>
      <c r="E331" s="39" t="s">
        <v>106</v>
      </c>
      <c r="F331" s="39"/>
      <c r="G331" s="31" t="s">
        <v>107</v>
      </c>
      <c r="H331" s="42"/>
      <c r="I331" s="42"/>
      <c r="J331" s="42">
        <f>J332+J333+J334+J335+J336+J337+J338+J339+J340+J345+J346+J347</f>
        <v>26505.559999999998</v>
      </c>
      <c r="K331" s="42"/>
      <c r="L331" s="42"/>
      <c r="M331" s="42"/>
      <c r="N331" s="42">
        <f>N332+N333+N334+N335+N336+N337+N338+N339+N340+N345+N346+N347</f>
        <v>26907.252200000003</v>
      </c>
      <c r="O331" s="42"/>
      <c r="P331" s="42"/>
      <c r="Q331" s="42">
        <f>Q332+Q333+Q334+Q335+Q336+Q337+Q338+Q339+Q340+Q345+Q346+Q347</f>
        <v>27687.054644</v>
      </c>
      <c r="R331" s="35">
        <f aca="true" t="shared" si="85" ref="R331:R394">Q331/N331*100</f>
        <v>102.89811251704101</v>
      </c>
      <c r="S331" s="42"/>
      <c r="T331" s="42">
        <f>T332+T333+T334+T335+T336+T337+T338+T339+T340+T345+T346+T347</f>
        <v>28932.55957552</v>
      </c>
      <c r="U331" s="42">
        <f>U332+U333+U334+U335+U336+U337+U338+U339+U340+U345+U346+U347</f>
        <v>30182.751301561602</v>
      </c>
      <c r="V331" s="48"/>
      <c r="W331" s="37"/>
      <c r="X331" s="37"/>
    </row>
    <row r="332" spans="1:24" ht="12.75">
      <c r="A332" s="39"/>
      <c r="B332" s="40"/>
      <c r="C332" s="39"/>
      <c r="D332" s="41"/>
      <c r="E332" s="39"/>
      <c r="F332" s="39">
        <v>111</v>
      </c>
      <c r="G332" s="39" t="s">
        <v>33</v>
      </c>
      <c r="H332" s="42">
        <v>7060</v>
      </c>
      <c r="I332" s="42">
        <v>7932</v>
      </c>
      <c r="J332" s="42">
        <v>10206</v>
      </c>
      <c r="K332" s="42"/>
      <c r="L332" s="42"/>
      <c r="M332" s="42"/>
      <c r="N332" s="42">
        <v>11457</v>
      </c>
      <c r="O332" s="42"/>
      <c r="P332" s="42"/>
      <c r="Q332" s="42">
        <v>11457</v>
      </c>
      <c r="R332" s="35">
        <f t="shared" si="85"/>
        <v>100</v>
      </c>
      <c r="S332" s="42"/>
      <c r="T332" s="47">
        <v>11537</v>
      </c>
      <c r="U332" s="47">
        <v>11537</v>
      </c>
      <c r="V332" s="46"/>
      <c r="W332" s="37">
        <f aca="true" t="shared" si="86" ref="W332:W340">J332/I332*100</f>
        <v>128.66868381240545</v>
      </c>
      <c r="X332" s="37">
        <f aca="true" t="shared" si="87" ref="X332:X340">N332/J332*100</f>
        <v>112.25749559082891</v>
      </c>
    </row>
    <row r="333" spans="1:24" ht="12.75">
      <c r="A333" s="39"/>
      <c r="B333" s="40"/>
      <c r="C333" s="39"/>
      <c r="D333" s="41"/>
      <c r="E333" s="39"/>
      <c r="F333" s="39">
        <v>113</v>
      </c>
      <c r="G333" s="39" t="s">
        <v>35</v>
      </c>
      <c r="H333" s="42">
        <v>387</v>
      </c>
      <c r="I333" s="42">
        <v>482</v>
      </c>
      <c r="J333" s="42">
        <v>626</v>
      </c>
      <c r="K333" s="42"/>
      <c r="L333" s="42"/>
      <c r="M333" s="42"/>
      <c r="N333" s="42">
        <f>J333</f>
        <v>626</v>
      </c>
      <c r="O333" s="42"/>
      <c r="P333" s="42"/>
      <c r="Q333" s="42">
        <f>N333</f>
        <v>626</v>
      </c>
      <c r="R333" s="35">
        <f t="shared" si="85"/>
        <v>100</v>
      </c>
      <c r="S333" s="42"/>
      <c r="T333" s="42">
        <f>Q333</f>
        <v>626</v>
      </c>
      <c r="U333" s="42">
        <f>T333</f>
        <v>626</v>
      </c>
      <c r="V333" s="46"/>
      <c r="W333" s="37">
        <f t="shared" si="86"/>
        <v>129.87551867219918</v>
      </c>
      <c r="X333" s="37">
        <f t="shared" si="87"/>
        <v>100</v>
      </c>
    </row>
    <row r="334" spans="1:24" ht="12.75">
      <c r="A334" s="39"/>
      <c r="B334" s="40"/>
      <c r="C334" s="39"/>
      <c r="D334" s="41"/>
      <c r="E334" s="39"/>
      <c r="F334" s="39">
        <v>121</v>
      </c>
      <c r="G334" s="39" t="s">
        <v>36</v>
      </c>
      <c r="H334" s="42">
        <v>445</v>
      </c>
      <c r="I334" s="42">
        <f>(I332-(I332*0.1))*0.06</f>
        <v>428.328</v>
      </c>
      <c r="J334" s="42">
        <v>551</v>
      </c>
      <c r="K334" s="42"/>
      <c r="L334" s="42"/>
      <c r="M334" s="42"/>
      <c r="N334" s="42">
        <f>(N332-(N332*0.1))*0.06</f>
        <v>618.6779999999999</v>
      </c>
      <c r="O334" s="42"/>
      <c r="P334" s="42"/>
      <c r="Q334" s="42">
        <f>(Q332-(Q332*0.1))*0.06</f>
        <v>618.6779999999999</v>
      </c>
      <c r="R334" s="35">
        <f t="shared" si="85"/>
        <v>100</v>
      </c>
      <c r="S334" s="42"/>
      <c r="T334" s="42">
        <f>(T332-(T332*0.1))*0.06</f>
        <v>622.9979999999999</v>
      </c>
      <c r="U334" s="42">
        <f>(U332-(U332*0.1))*0.06</f>
        <v>622.9979999999999</v>
      </c>
      <c r="V334" s="46"/>
      <c r="W334" s="37">
        <f t="shared" si="86"/>
        <v>128.6397340355989</v>
      </c>
      <c r="X334" s="37">
        <f t="shared" si="87"/>
        <v>112.28275862068963</v>
      </c>
    </row>
    <row r="335" spans="1:24" ht="25.5">
      <c r="A335" s="39"/>
      <c r="B335" s="40"/>
      <c r="C335" s="39"/>
      <c r="D335" s="41"/>
      <c r="E335" s="39"/>
      <c r="F335" s="39">
        <v>122</v>
      </c>
      <c r="G335" s="39" t="s">
        <v>37</v>
      </c>
      <c r="H335" s="42">
        <v>254</v>
      </c>
      <c r="I335" s="42">
        <f>(I332-(I332*0.1))*0.05</f>
        <v>356.94000000000005</v>
      </c>
      <c r="J335" s="42">
        <v>459</v>
      </c>
      <c r="K335" s="42"/>
      <c r="L335" s="42"/>
      <c r="M335" s="42"/>
      <c r="N335" s="42">
        <f>(N332-(N332*0.1))*0.05</f>
        <v>515.5649999999999</v>
      </c>
      <c r="O335" s="42"/>
      <c r="P335" s="42"/>
      <c r="Q335" s="42">
        <f>(Q332-(Q332*0.1))*0.05</f>
        <v>515.5649999999999</v>
      </c>
      <c r="R335" s="35">
        <f t="shared" si="85"/>
        <v>100</v>
      </c>
      <c r="S335" s="42"/>
      <c r="T335" s="42">
        <f>(T332-(T332*0.1))*0.05</f>
        <v>519.165</v>
      </c>
      <c r="U335" s="42">
        <f>(U332-(U332*0.1))*0.05</f>
        <v>519.165</v>
      </c>
      <c r="V335" s="46"/>
      <c r="W335" s="37">
        <f t="shared" si="86"/>
        <v>128.5930408472012</v>
      </c>
      <c r="X335" s="37">
        <f t="shared" si="87"/>
        <v>112.3235294117647</v>
      </c>
    </row>
    <row r="336" spans="1:24" ht="38.25">
      <c r="A336" s="39"/>
      <c r="B336" s="40"/>
      <c r="C336" s="39"/>
      <c r="D336" s="41"/>
      <c r="E336" s="39"/>
      <c r="F336" s="39">
        <v>125</v>
      </c>
      <c r="G336" s="39" t="s">
        <v>38</v>
      </c>
      <c r="H336" s="42">
        <v>8</v>
      </c>
      <c r="I336" s="42">
        <v>8</v>
      </c>
      <c r="J336" s="42">
        <f>I336+(I336*0.07)</f>
        <v>8.56</v>
      </c>
      <c r="K336" s="42"/>
      <c r="L336" s="42"/>
      <c r="M336" s="42"/>
      <c r="N336" s="42">
        <f>J336+(J336*0.07)</f>
        <v>9.1592</v>
      </c>
      <c r="O336" s="42"/>
      <c r="P336" s="42"/>
      <c r="Q336" s="42">
        <f>N336+(N336*0.07)</f>
        <v>9.800344</v>
      </c>
      <c r="R336" s="35">
        <f t="shared" si="85"/>
        <v>107</v>
      </c>
      <c r="S336" s="42"/>
      <c r="T336" s="42">
        <f>Q336+(Q336*0.08)</f>
        <v>10.584371520000001</v>
      </c>
      <c r="U336" s="42">
        <f>T336+(T336*0.08)</f>
        <v>11.431121241600001</v>
      </c>
      <c r="V336" s="46"/>
      <c r="W336" s="37">
        <f t="shared" si="86"/>
        <v>107</v>
      </c>
      <c r="X336" s="37">
        <f t="shared" si="87"/>
        <v>107</v>
      </c>
    </row>
    <row r="337" spans="1:24" ht="12.75">
      <c r="A337" s="39"/>
      <c r="B337" s="40"/>
      <c r="C337" s="39"/>
      <c r="D337" s="41"/>
      <c r="E337" s="39"/>
      <c r="F337" s="39">
        <v>131</v>
      </c>
      <c r="G337" s="39" t="s">
        <v>110</v>
      </c>
      <c r="H337" s="42">
        <v>1849</v>
      </c>
      <c r="I337" s="42">
        <v>2281</v>
      </c>
      <c r="J337" s="42">
        <v>5673</v>
      </c>
      <c r="K337" s="42"/>
      <c r="L337" s="42"/>
      <c r="M337" s="42"/>
      <c r="N337" s="42">
        <f aca="true" t="shared" si="88" ref="N337:N347">J337+(J337*0.07)</f>
        <v>6070.11</v>
      </c>
      <c r="O337" s="42"/>
      <c r="P337" s="42"/>
      <c r="Q337" s="42">
        <f aca="true" t="shared" si="89" ref="Q337:Q347">N337+(N337*0.07)</f>
        <v>6495.017699999999</v>
      </c>
      <c r="R337" s="35">
        <f t="shared" si="85"/>
        <v>107</v>
      </c>
      <c r="S337" s="42"/>
      <c r="T337" s="42">
        <f>Q337+(Q337*0.08)</f>
        <v>7014.619116</v>
      </c>
      <c r="U337" s="42">
        <f>T337+(T337*0.08)</f>
        <v>7575.788645279999</v>
      </c>
      <c r="V337" s="46"/>
      <c r="W337" s="37">
        <f t="shared" si="86"/>
        <v>248.7067075843928</v>
      </c>
      <c r="X337" s="37">
        <f t="shared" si="87"/>
        <v>106.99999999999999</v>
      </c>
    </row>
    <row r="338" spans="1:24" ht="25.5">
      <c r="A338" s="39"/>
      <c r="B338" s="40"/>
      <c r="C338" s="39"/>
      <c r="D338" s="41"/>
      <c r="E338" s="39"/>
      <c r="F338" s="39">
        <v>132</v>
      </c>
      <c r="G338" s="39" t="s">
        <v>89</v>
      </c>
      <c r="H338" s="42">
        <v>265</v>
      </c>
      <c r="I338" s="42">
        <v>288</v>
      </c>
      <c r="J338" s="42">
        <v>610</v>
      </c>
      <c r="K338" s="42"/>
      <c r="L338" s="42"/>
      <c r="M338" s="42"/>
      <c r="N338" s="42">
        <f t="shared" si="88"/>
        <v>652.7</v>
      </c>
      <c r="O338" s="42"/>
      <c r="P338" s="42"/>
      <c r="Q338" s="42">
        <f t="shared" si="89"/>
        <v>698.389</v>
      </c>
      <c r="R338" s="35">
        <f t="shared" si="85"/>
        <v>106.99999999999999</v>
      </c>
      <c r="S338" s="42"/>
      <c r="T338" s="42">
        <f>Q338+(Q338*0.08)</f>
        <v>754.26012</v>
      </c>
      <c r="U338" s="42">
        <f>T338+(T338*0.08)</f>
        <v>814.6009296</v>
      </c>
      <c r="V338" s="46"/>
      <c r="W338" s="37">
        <f t="shared" si="86"/>
        <v>211.80555555555554</v>
      </c>
      <c r="X338" s="37">
        <f t="shared" si="87"/>
        <v>107</v>
      </c>
    </row>
    <row r="339" spans="1:24" ht="12.75">
      <c r="A339" s="39"/>
      <c r="B339" s="40"/>
      <c r="C339" s="39"/>
      <c r="D339" s="41"/>
      <c r="E339" s="39"/>
      <c r="F339" s="39">
        <v>139</v>
      </c>
      <c r="G339" s="39" t="s">
        <v>39</v>
      </c>
      <c r="H339" s="42">
        <v>1518</v>
      </c>
      <c r="I339" s="42">
        <v>1539</v>
      </c>
      <c r="J339" s="42">
        <v>6118</v>
      </c>
      <c r="K339" s="42"/>
      <c r="L339" s="42"/>
      <c r="M339" s="42"/>
      <c r="N339" s="42">
        <f>J339+(J339*0.07)-2000</f>
        <v>4546.26</v>
      </c>
      <c r="O339" s="42"/>
      <c r="P339" s="42"/>
      <c r="Q339" s="42">
        <v>4546</v>
      </c>
      <c r="R339" s="35">
        <f t="shared" si="85"/>
        <v>99.99428101340442</v>
      </c>
      <c r="S339" s="42"/>
      <c r="T339" s="42">
        <f>Q339+(Q339*0.08)</f>
        <v>4909.68</v>
      </c>
      <c r="U339" s="42">
        <f>T339+(T339*0.08)</f>
        <v>5302.4544000000005</v>
      </c>
      <c r="V339" s="46"/>
      <c r="W339" s="37">
        <f t="shared" si="86"/>
        <v>397.53086419753083</v>
      </c>
      <c r="X339" s="37">
        <f t="shared" si="87"/>
        <v>74.30957829355998</v>
      </c>
    </row>
    <row r="340" spans="1:24" ht="12.75">
      <c r="A340" s="39"/>
      <c r="B340" s="40"/>
      <c r="C340" s="39"/>
      <c r="D340" s="41"/>
      <c r="E340" s="39"/>
      <c r="F340" s="39">
        <v>141</v>
      </c>
      <c r="G340" s="39" t="s">
        <v>60</v>
      </c>
      <c r="H340" s="42">
        <v>801</v>
      </c>
      <c r="I340" s="42">
        <v>817</v>
      </c>
      <c r="J340" s="42">
        <f>J342+J343+J344</f>
        <v>1178</v>
      </c>
      <c r="K340" s="42"/>
      <c r="L340" s="42"/>
      <c r="M340" s="42"/>
      <c r="N340" s="42">
        <f t="shared" si="88"/>
        <v>1260.46</v>
      </c>
      <c r="O340" s="42"/>
      <c r="P340" s="42"/>
      <c r="Q340" s="42">
        <f t="shared" si="89"/>
        <v>1348.6922</v>
      </c>
      <c r="R340" s="35">
        <f t="shared" si="85"/>
        <v>106.99999999999999</v>
      </c>
      <c r="S340" s="42"/>
      <c r="T340" s="42">
        <f>Q340+(Q340*0.08)</f>
        <v>1456.587576</v>
      </c>
      <c r="U340" s="42">
        <f>T340+(T340*0.08)</f>
        <v>1573.11458208</v>
      </c>
      <c r="V340" s="46"/>
      <c r="W340" s="37">
        <f t="shared" si="86"/>
        <v>144.1860465116279</v>
      </c>
      <c r="X340" s="37">
        <f t="shared" si="87"/>
        <v>107</v>
      </c>
    </row>
    <row r="341" spans="1:24" ht="12.75">
      <c r="A341" s="39"/>
      <c r="B341" s="40"/>
      <c r="C341" s="39"/>
      <c r="D341" s="41"/>
      <c r="E341" s="39"/>
      <c r="F341" s="39"/>
      <c r="G341" s="53" t="s">
        <v>58</v>
      </c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35" t="e">
        <f t="shared" si="85"/>
        <v>#DIV/0!</v>
      </c>
      <c r="S341" s="42"/>
      <c r="T341" s="47"/>
      <c r="U341" s="35"/>
      <c r="V341" s="46"/>
      <c r="W341" s="37"/>
      <c r="X341" s="37"/>
    </row>
    <row r="342" spans="1:24" ht="12.75">
      <c r="A342" s="39"/>
      <c r="B342" s="40"/>
      <c r="C342" s="39"/>
      <c r="D342" s="41"/>
      <c r="E342" s="39"/>
      <c r="F342" s="39"/>
      <c r="G342" s="53" t="s">
        <v>64</v>
      </c>
      <c r="H342" s="42"/>
      <c r="I342" s="42"/>
      <c r="J342" s="42">
        <v>544</v>
      </c>
      <c r="K342" s="42"/>
      <c r="L342" s="42"/>
      <c r="M342" s="42"/>
      <c r="N342" s="42"/>
      <c r="O342" s="42"/>
      <c r="P342" s="42"/>
      <c r="Q342" s="42"/>
      <c r="R342" s="35" t="e">
        <f t="shared" si="85"/>
        <v>#DIV/0!</v>
      </c>
      <c r="S342" s="42"/>
      <c r="T342" s="47"/>
      <c r="U342" s="35"/>
      <c r="V342" s="46"/>
      <c r="W342" s="37"/>
      <c r="X342" s="37"/>
    </row>
    <row r="343" spans="1:24" ht="12.75">
      <c r="A343" s="39"/>
      <c r="B343" s="40"/>
      <c r="C343" s="39"/>
      <c r="D343" s="41"/>
      <c r="E343" s="39"/>
      <c r="F343" s="39"/>
      <c r="G343" s="53" t="s">
        <v>65</v>
      </c>
      <c r="H343" s="42"/>
      <c r="I343" s="42"/>
      <c r="J343" s="42">
        <v>348</v>
      </c>
      <c r="K343" s="42"/>
      <c r="L343" s="42"/>
      <c r="M343" s="42"/>
      <c r="N343" s="42"/>
      <c r="O343" s="42"/>
      <c r="P343" s="42"/>
      <c r="Q343" s="42"/>
      <c r="R343" s="35" t="e">
        <f t="shared" si="85"/>
        <v>#DIV/0!</v>
      </c>
      <c r="S343" s="42"/>
      <c r="T343" s="47"/>
      <c r="U343" s="35"/>
      <c r="V343" s="46"/>
      <c r="W343" s="37"/>
      <c r="X343" s="37"/>
    </row>
    <row r="344" spans="1:24" ht="12.75">
      <c r="A344" s="39"/>
      <c r="B344" s="40"/>
      <c r="C344" s="39"/>
      <c r="D344" s="41"/>
      <c r="E344" s="39"/>
      <c r="F344" s="39"/>
      <c r="G344" s="53" t="s">
        <v>66</v>
      </c>
      <c r="H344" s="42"/>
      <c r="I344" s="42"/>
      <c r="J344" s="42">
        <v>286</v>
      </c>
      <c r="K344" s="42"/>
      <c r="L344" s="42"/>
      <c r="M344" s="42"/>
      <c r="N344" s="42"/>
      <c r="O344" s="42"/>
      <c r="P344" s="42"/>
      <c r="Q344" s="42"/>
      <c r="R344" s="35" t="e">
        <f t="shared" si="85"/>
        <v>#DIV/0!</v>
      </c>
      <c r="S344" s="42"/>
      <c r="T344" s="47"/>
      <c r="U344" s="35"/>
      <c r="V344" s="46"/>
      <c r="W344" s="37"/>
      <c r="X344" s="37"/>
    </row>
    <row r="345" spans="1:24" ht="12.75">
      <c r="A345" s="39"/>
      <c r="B345" s="40"/>
      <c r="C345" s="39"/>
      <c r="D345" s="41"/>
      <c r="E345" s="39"/>
      <c r="F345" s="39">
        <v>142</v>
      </c>
      <c r="G345" s="39" t="s">
        <v>40</v>
      </c>
      <c r="H345" s="42">
        <v>126</v>
      </c>
      <c r="I345" s="42">
        <v>191</v>
      </c>
      <c r="J345" s="42">
        <v>206</v>
      </c>
      <c r="K345" s="42"/>
      <c r="L345" s="42"/>
      <c r="M345" s="42"/>
      <c r="N345" s="42">
        <f t="shared" si="88"/>
        <v>220.42000000000002</v>
      </c>
      <c r="O345" s="42"/>
      <c r="P345" s="42"/>
      <c r="Q345" s="42">
        <f t="shared" si="89"/>
        <v>235.84940000000003</v>
      </c>
      <c r="R345" s="35">
        <f t="shared" si="85"/>
        <v>107</v>
      </c>
      <c r="S345" s="42"/>
      <c r="T345" s="42">
        <f>Q345+(Q345*0.08)</f>
        <v>254.71735200000003</v>
      </c>
      <c r="U345" s="42">
        <f>T345+(T345*0.08)</f>
        <v>275.09474016</v>
      </c>
      <c r="V345" s="46"/>
      <c r="W345" s="37">
        <f>J345/I345*100</f>
        <v>107.85340314136124</v>
      </c>
      <c r="X345" s="37">
        <f>N345/J345*100</f>
        <v>107</v>
      </c>
    </row>
    <row r="346" spans="1:24" ht="12.75">
      <c r="A346" s="39"/>
      <c r="B346" s="40"/>
      <c r="C346" s="39"/>
      <c r="D346" s="41"/>
      <c r="E346" s="39"/>
      <c r="F346" s="39">
        <v>149</v>
      </c>
      <c r="G346" s="39" t="s">
        <v>43</v>
      </c>
      <c r="H346" s="42">
        <v>754</v>
      </c>
      <c r="I346" s="42">
        <v>812</v>
      </c>
      <c r="J346" s="42">
        <v>795</v>
      </c>
      <c r="K346" s="42"/>
      <c r="L346" s="42"/>
      <c r="M346" s="42"/>
      <c r="N346" s="42">
        <f t="shared" si="88"/>
        <v>850.65</v>
      </c>
      <c r="O346" s="42"/>
      <c r="P346" s="42"/>
      <c r="Q346" s="42">
        <f>N346+(N346*0.07)+140</f>
        <v>1050.1955</v>
      </c>
      <c r="R346" s="35">
        <f t="shared" si="85"/>
        <v>123.45800270381473</v>
      </c>
      <c r="S346" s="42"/>
      <c r="T346" s="42">
        <f>Q346+(Q346*0.08)</f>
        <v>1134.2111400000001</v>
      </c>
      <c r="U346" s="42">
        <f>T346+(T346*0.08)</f>
        <v>1224.9480312</v>
      </c>
      <c r="V346" s="46"/>
      <c r="W346" s="37">
        <f>J346/I346*100</f>
        <v>97.9064039408867</v>
      </c>
      <c r="X346" s="37">
        <f>N346/J346*100</f>
        <v>107</v>
      </c>
    </row>
    <row r="347" spans="1:24" ht="12.75">
      <c r="A347" s="39"/>
      <c r="B347" s="40"/>
      <c r="C347" s="39"/>
      <c r="D347" s="41"/>
      <c r="E347" s="39"/>
      <c r="F347" s="39">
        <v>159</v>
      </c>
      <c r="G347" s="39" t="s">
        <v>46</v>
      </c>
      <c r="H347" s="42">
        <v>64</v>
      </c>
      <c r="I347" s="42">
        <f>H347+(H347*0.08)</f>
        <v>69.12</v>
      </c>
      <c r="J347" s="42">
        <v>75</v>
      </c>
      <c r="K347" s="42"/>
      <c r="L347" s="42"/>
      <c r="M347" s="42"/>
      <c r="N347" s="42">
        <f t="shared" si="88"/>
        <v>80.25</v>
      </c>
      <c r="O347" s="42"/>
      <c r="P347" s="42"/>
      <c r="Q347" s="42">
        <f t="shared" si="89"/>
        <v>85.8675</v>
      </c>
      <c r="R347" s="35">
        <f t="shared" si="85"/>
        <v>107</v>
      </c>
      <c r="S347" s="42"/>
      <c r="T347" s="42">
        <f>Q347+(Q347*0.08)</f>
        <v>92.7369</v>
      </c>
      <c r="U347" s="42">
        <f>T347+(T347*0.08)</f>
        <v>100.15585200000001</v>
      </c>
      <c r="V347" s="46"/>
      <c r="W347" s="37">
        <f>J347/I347*100</f>
        <v>108.50694444444444</v>
      </c>
      <c r="X347" s="37">
        <f>N347/J347*100</f>
        <v>107</v>
      </c>
    </row>
    <row r="348" spans="1:24" ht="25.5">
      <c r="A348" s="39"/>
      <c r="B348" s="40"/>
      <c r="C348" s="39"/>
      <c r="D348" s="41">
        <v>14</v>
      </c>
      <c r="E348" s="41"/>
      <c r="F348" s="39"/>
      <c r="G348" s="45" t="s">
        <v>172</v>
      </c>
      <c r="H348" s="42" t="e">
        <f>#REF!+#REF!+H350</f>
        <v>#REF!</v>
      </c>
      <c r="I348" s="42">
        <f>SUM(I352:I361)</f>
        <v>51328.547999999995</v>
      </c>
      <c r="J348" s="42">
        <f>J349+J363</f>
        <v>64586.14399999999</v>
      </c>
      <c r="K348" s="42">
        <v>69086</v>
      </c>
      <c r="L348" s="42">
        <v>71971</v>
      </c>
      <c r="M348" s="42">
        <v>71969</v>
      </c>
      <c r="N348" s="42">
        <f>N349+N363</f>
        <v>78869.269</v>
      </c>
      <c r="O348" s="42"/>
      <c r="P348" s="42">
        <v>91687</v>
      </c>
      <c r="Q348" s="42">
        <f>Q349+Q363+15000+10000</f>
        <v>104698.559</v>
      </c>
      <c r="R348" s="35">
        <f t="shared" si="85"/>
        <v>132.7494984136343</v>
      </c>
      <c r="S348" s="42"/>
      <c r="T348" s="42">
        <f>T349+T363+6000</f>
        <v>110453.88220000001</v>
      </c>
      <c r="U348" s="42">
        <f>U349+U363</f>
        <v>105675.35365599999</v>
      </c>
      <c r="V348" s="46" t="s">
        <v>173</v>
      </c>
      <c r="W348" s="37">
        <f>J348/I348*100</f>
        <v>125.82889350386455</v>
      </c>
      <c r="X348" s="37">
        <f>N348/J348*100</f>
        <v>122.11484401360144</v>
      </c>
    </row>
    <row r="349" spans="1:24" ht="12.75">
      <c r="A349" s="39"/>
      <c r="B349" s="40"/>
      <c r="C349" s="39"/>
      <c r="D349" s="41"/>
      <c r="E349" s="41">
        <v>15</v>
      </c>
      <c r="F349" s="39"/>
      <c r="G349" s="45" t="s">
        <v>107</v>
      </c>
      <c r="H349" s="42"/>
      <c r="I349" s="42"/>
      <c r="J349" s="42">
        <f>J350</f>
        <v>64586.14399999999</v>
      </c>
      <c r="K349" s="42"/>
      <c r="L349" s="42"/>
      <c r="M349" s="42"/>
      <c r="N349" s="42">
        <f>N350</f>
        <v>78869.269</v>
      </c>
      <c r="O349" s="42"/>
      <c r="P349" s="42"/>
      <c r="Q349" s="42">
        <f>Q350</f>
        <v>79698.559</v>
      </c>
      <c r="R349" s="35">
        <f t="shared" si="85"/>
        <v>101.05147418064695</v>
      </c>
      <c r="S349" s="42"/>
      <c r="T349" s="42">
        <f>T350</f>
        <v>80712.6622</v>
      </c>
      <c r="U349" s="42">
        <f>U350</f>
        <v>81807.893656</v>
      </c>
      <c r="V349" s="46"/>
      <c r="W349" s="37"/>
      <c r="X349" s="37"/>
    </row>
    <row r="350" spans="1:24" ht="12.75">
      <c r="A350" s="39"/>
      <c r="B350" s="40"/>
      <c r="C350" s="39"/>
      <c r="D350" s="41"/>
      <c r="E350" s="39"/>
      <c r="F350" s="39">
        <v>149</v>
      </c>
      <c r="G350" s="39" t="s">
        <v>43</v>
      </c>
      <c r="H350" s="42">
        <f>H352+H353+H354+H355+H360+H361+H362</f>
        <v>47509</v>
      </c>
      <c r="I350" s="42"/>
      <c r="J350" s="42">
        <f>SUM(J352:J362)</f>
        <v>64586.14399999999</v>
      </c>
      <c r="K350" s="42"/>
      <c r="L350" s="42"/>
      <c r="M350" s="42"/>
      <c r="N350" s="42">
        <f>SUM(N352:N362)</f>
        <v>78869.269</v>
      </c>
      <c r="O350" s="42"/>
      <c r="P350" s="42"/>
      <c r="Q350" s="42">
        <f>SUM(Q352:Q362)</f>
        <v>79698.559</v>
      </c>
      <c r="R350" s="35">
        <f t="shared" si="85"/>
        <v>101.05147418064695</v>
      </c>
      <c r="S350" s="42"/>
      <c r="T350" s="42">
        <f>SUM(T352:T362)</f>
        <v>80712.6622</v>
      </c>
      <c r="U350" s="42">
        <f>SUM(U352:U362)</f>
        <v>81807.893656</v>
      </c>
      <c r="V350" s="46"/>
      <c r="W350" s="37" t="e">
        <f>J350/I350*100</f>
        <v>#DIV/0!</v>
      </c>
      <c r="X350" s="37">
        <f>N350/J350*100</f>
        <v>122.11484401360144</v>
      </c>
    </row>
    <row r="351" spans="1:24" ht="12.75">
      <c r="A351" s="39"/>
      <c r="B351" s="40"/>
      <c r="C351" s="39"/>
      <c r="D351" s="41"/>
      <c r="E351" s="39"/>
      <c r="F351" s="39"/>
      <c r="G351" s="39" t="s">
        <v>108</v>
      </c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35" t="e">
        <f t="shared" si="85"/>
        <v>#DIV/0!</v>
      </c>
      <c r="S351" s="42"/>
      <c r="T351" s="47"/>
      <c r="U351" s="35"/>
      <c r="V351" s="46"/>
      <c r="W351" s="37"/>
      <c r="X351" s="37"/>
    </row>
    <row r="352" spans="1:24" ht="12.75">
      <c r="A352" s="39"/>
      <c r="B352" s="40"/>
      <c r="C352" s="39"/>
      <c r="D352" s="41"/>
      <c r="E352" s="39"/>
      <c r="F352" s="39">
        <v>111</v>
      </c>
      <c r="G352" s="39" t="s">
        <v>33</v>
      </c>
      <c r="H352" s="42">
        <v>35626</v>
      </c>
      <c r="I352" s="42">
        <v>38652</v>
      </c>
      <c r="J352" s="42">
        <v>49456</v>
      </c>
      <c r="K352" s="42"/>
      <c r="L352" s="42"/>
      <c r="M352" s="42"/>
      <c r="N352" s="42">
        <v>56831</v>
      </c>
      <c r="O352" s="42"/>
      <c r="P352" s="42"/>
      <c r="Q352" s="42">
        <v>56831</v>
      </c>
      <c r="R352" s="35">
        <f t="shared" si="85"/>
        <v>100</v>
      </c>
      <c r="S352" s="42"/>
      <c r="T352" s="42">
        <v>56831</v>
      </c>
      <c r="U352" s="42">
        <v>56831</v>
      </c>
      <c r="V352" s="46"/>
      <c r="W352" s="37">
        <f>J352/I352*100</f>
        <v>127.95198178619475</v>
      </c>
      <c r="X352" s="37">
        <f>N352/J352*100</f>
        <v>114.91224522808152</v>
      </c>
    </row>
    <row r="353" spans="1:24" ht="12.75">
      <c r="A353" s="39"/>
      <c r="B353" s="40"/>
      <c r="C353" s="39"/>
      <c r="D353" s="41"/>
      <c r="E353" s="39"/>
      <c r="F353" s="39">
        <v>113</v>
      </c>
      <c r="G353" s="39" t="s">
        <v>35</v>
      </c>
      <c r="H353" s="42">
        <v>2863</v>
      </c>
      <c r="I353" s="42">
        <v>3437</v>
      </c>
      <c r="J353" s="42">
        <v>4469</v>
      </c>
      <c r="K353" s="42"/>
      <c r="L353" s="42"/>
      <c r="M353" s="42"/>
      <c r="N353" s="42">
        <v>4565</v>
      </c>
      <c r="O353" s="42"/>
      <c r="P353" s="42"/>
      <c r="Q353" s="42">
        <f>N353</f>
        <v>4565</v>
      </c>
      <c r="R353" s="35">
        <f t="shared" si="85"/>
        <v>100</v>
      </c>
      <c r="S353" s="42"/>
      <c r="T353" s="42">
        <f>Q353</f>
        <v>4565</v>
      </c>
      <c r="U353" s="42">
        <f>T353</f>
        <v>4565</v>
      </c>
      <c r="V353" s="46"/>
      <c r="W353" s="37">
        <f>J353/I353*100</f>
        <v>130.0261856270003</v>
      </c>
      <c r="X353" s="37">
        <f>N353/J353*100</f>
        <v>102.14813157305885</v>
      </c>
    </row>
    <row r="354" spans="1:24" ht="12.75">
      <c r="A354" s="39"/>
      <c r="B354" s="40"/>
      <c r="C354" s="39"/>
      <c r="D354" s="41"/>
      <c r="E354" s="39"/>
      <c r="F354" s="39">
        <v>121</v>
      </c>
      <c r="G354" s="39" t="s">
        <v>36</v>
      </c>
      <c r="H354" s="42">
        <v>2244</v>
      </c>
      <c r="I354" s="42">
        <f>(I352-(I352*0.1))*0.06</f>
        <v>2087.208</v>
      </c>
      <c r="J354" s="42">
        <f>(J352-(J352*0.1))*0.06</f>
        <v>2670.624</v>
      </c>
      <c r="K354" s="42"/>
      <c r="L354" s="42"/>
      <c r="M354" s="42"/>
      <c r="N354" s="42">
        <f>(N352-(N352*0.1))*0.06</f>
        <v>3068.874</v>
      </c>
      <c r="O354" s="42"/>
      <c r="P354" s="42"/>
      <c r="Q354" s="42">
        <f>(Q352-(Q352*0.1))*0.06</f>
        <v>3068.874</v>
      </c>
      <c r="R354" s="35">
        <f t="shared" si="85"/>
        <v>100</v>
      </c>
      <c r="S354" s="42"/>
      <c r="T354" s="42">
        <f>(T352-(T352*0.1))*0.06</f>
        <v>3068.874</v>
      </c>
      <c r="U354" s="42">
        <f>(U352-(U352*0.1))*0.06</f>
        <v>3068.874</v>
      </c>
      <c r="V354" s="46"/>
      <c r="W354" s="37">
        <f>J354/I354*100</f>
        <v>127.95198178619475</v>
      </c>
      <c r="X354" s="37">
        <f>N354/J354*100</f>
        <v>114.91224522808152</v>
      </c>
    </row>
    <row r="355" spans="1:24" ht="25.5">
      <c r="A355" s="39"/>
      <c r="B355" s="40"/>
      <c r="C355" s="39"/>
      <c r="D355" s="41"/>
      <c r="E355" s="39"/>
      <c r="F355" s="39">
        <v>122</v>
      </c>
      <c r="G355" s="39" t="s">
        <v>37</v>
      </c>
      <c r="H355" s="42">
        <v>1282</v>
      </c>
      <c r="I355" s="42">
        <f>(I352-(I352*0.1))*0.05</f>
        <v>1739.3400000000001</v>
      </c>
      <c r="J355" s="42">
        <f>(J352-(J352*0.1))*0.05</f>
        <v>2225.52</v>
      </c>
      <c r="K355" s="42"/>
      <c r="L355" s="42"/>
      <c r="M355" s="42"/>
      <c r="N355" s="42">
        <f>(N352-(N352*0.1))*0.05</f>
        <v>2557.3950000000004</v>
      </c>
      <c r="O355" s="42"/>
      <c r="P355" s="42"/>
      <c r="Q355" s="42">
        <f>(Q352-(Q352*0.1))*0.05</f>
        <v>2557.3950000000004</v>
      </c>
      <c r="R355" s="35">
        <f t="shared" si="85"/>
        <v>100</v>
      </c>
      <c r="S355" s="42"/>
      <c r="T355" s="42">
        <f>(T352-(T352*0.1))*0.05</f>
        <v>2557.3950000000004</v>
      </c>
      <c r="U355" s="42">
        <f>(U352-(U352*0.1))*0.05</f>
        <v>2557.3950000000004</v>
      </c>
      <c r="V355" s="46"/>
      <c r="W355" s="37">
        <f>J355/I355*100</f>
        <v>127.95198178619475</v>
      </c>
      <c r="X355" s="37">
        <f>N355/J355*100</f>
        <v>114.91224522808155</v>
      </c>
    </row>
    <row r="356" spans="1:24" ht="38.25">
      <c r="A356" s="39"/>
      <c r="B356" s="40"/>
      <c r="C356" s="39"/>
      <c r="D356" s="41"/>
      <c r="E356" s="39"/>
      <c r="F356" s="39">
        <v>125</v>
      </c>
      <c r="G356" s="39" t="s">
        <v>38</v>
      </c>
      <c r="H356" s="42">
        <v>54</v>
      </c>
      <c r="I356" s="42">
        <v>85</v>
      </c>
      <c r="J356" s="42">
        <v>99</v>
      </c>
      <c r="K356" s="42"/>
      <c r="L356" s="42"/>
      <c r="M356" s="42"/>
      <c r="N356" s="42">
        <v>54</v>
      </c>
      <c r="O356" s="42"/>
      <c r="P356" s="42"/>
      <c r="Q356" s="42">
        <f aca="true" t="shared" si="90" ref="Q356:Q361">N356+(N356*0.07)</f>
        <v>57.78</v>
      </c>
      <c r="R356" s="35">
        <f t="shared" si="85"/>
        <v>107</v>
      </c>
      <c r="S356" s="42"/>
      <c r="T356" s="42">
        <f aca="true" t="shared" si="91" ref="T356:T361">Q356+(Q356*0.08)</f>
        <v>62.4024</v>
      </c>
      <c r="U356" s="42">
        <f>T356+(T356*0.08)</f>
        <v>67.394592</v>
      </c>
      <c r="V356" s="46"/>
      <c r="W356" s="37"/>
      <c r="X356" s="37"/>
    </row>
    <row r="357" spans="1:24" ht="12.75">
      <c r="A357" s="39"/>
      <c r="B357" s="40"/>
      <c r="C357" s="39"/>
      <c r="D357" s="41"/>
      <c r="E357" s="39"/>
      <c r="F357" s="39">
        <v>139</v>
      </c>
      <c r="G357" s="39" t="s">
        <v>39</v>
      </c>
      <c r="H357" s="42">
        <v>2227</v>
      </c>
      <c r="I357" s="42">
        <v>1955</v>
      </c>
      <c r="J357" s="42">
        <v>2356</v>
      </c>
      <c r="K357" s="42"/>
      <c r="L357" s="42"/>
      <c r="M357" s="42"/>
      <c r="N357" s="42">
        <v>3142</v>
      </c>
      <c r="O357" s="42"/>
      <c r="P357" s="42"/>
      <c r="Q357" s="42">
        <f t="shared" si="90"/>
        <v>3361.94</v>
      </c>
      <c r="R357" s="35">
        <f t="shared" si="85"/>
        <v>107</v>
      </c>
      <c r="S357" s="42"/>
      <c r="T357" s="42">
        <f t="shared" si="91"/>
        <v>3630.8952</v>
      </c>
      <c r="U357" s="42">
        <f>T357+(T357*0.08)</f>
        <v>3921.3668159999997</v>
      </c>
      <c r="V357" s="46"/>
      <c r="W357" s="37"/>
      <c r="X357" s="37"/>
    </row>
    <row r="358" spans="1:24" ht="12.75">
      <c r="A358" s="39"/>
      <c r="B358" s="40"/>
      <c r="C358" s="39"/>
      <c r="D358" s="41"/>
      <c r="E358" s="39"/>
      <c r="F358" s="39">
        <v>147</v>
      </c>
      <c r="G358" s="39" t="s">
        <v>174</v>
      </c>
      <c r="H358" s="42"/>
      <c r="I358" s="42"/>
      <c r="J358" s="42"/>
      <c r="K358" s="42"/>
      <c r="L358" s="42"/>
      <c r="M358" s="42"/>
      <c r="N358" s="42">
        <v>5154</v>
      </c>
      <c r="O358" s="42"/>
      <c r="P358" s="42"/>
      <c r="Q358" s="42">
        <f t="shared" si="90"/>
        <v>5514.78</v>
      </c>
      <c r="R358" s="35">
        <f t="shared" si="85"/>
        <v>106.99999999999999</v>
      </c>
      <c r="S358" s="42"/>
      <c r="T358" s="42">
        <f t="shared" si="91"/>
        <v>5955.962399999999</v>
      </c>
      <c r="U358" s="42">
        <f>T358+(T358*0.08)</f>
        <v>6432.439391999999</v>
      </c>
      <c r="V358" s="46"/>
      <c r="W358" s="37"/>
      <c r="X358" s="37"/>
    </row>
    <row r="359" spans="1:24" ht="12.75">
      <c r="A359" s="39"/>
      <c r="B359" s="40"/>
      <c r="C359" s="39"/>
      <c r="D359" s="41"/>
      <c r="E359" s="39"/>
      <c r="F359" s="39">
        <v>142</v>
      </c>
      <c r="G359" s="39" t="s">
        <v>40</v>
      </c>
      <c r="H359" s="42"/>
      <c r="I359" s="42">
        <v>347</v>
      </c>
      <c r="J359" s="42">
        <v>267</v>
      </c>
      <c r="K359" s="42"/>
      <c r="L359" s="42"/>
      <c r="M359" s="42"/>
      <c r="N359" s="42">
        <v>285</v>
      </c>
      <c r="O359" s="42"/>
      <c r="P359" s="42"/>
      <c r="Q359" s="42">
        <f t="shared" si="90"/>
        <v>304.95</v>
      </c>
      <c r="R359" s="35">
        <f t="shared" si="85"/>
        <v>107</v>
      </c>
      <c r="S359" s="42"/>
      <c r="T359" s="42">
        <f t="shared" si="91"/>
        <v>329.346</v>
      </c>
      <c r="U359" s="42">
        <f>T359+(T359*0.08)</f>
        <v>355.69368000000003</v>
      </c>
      <c r="V359" s="46"/>
      <c r="W359" s="37"/>
      <c r="X359" s="37"/>
    </row>
    <row r="360" spans="1:24" ht="12.75">
      <c r="A360" s="39"/>
      <c r="B360" s="40"/>
      <c r="C360" s="39"/>
      <c r="D360" s="41"/>
      <c r="E360" s="39"/>
      <c r="F360" s="39">
        <v>149</v>
      </c>
      <c r="G360" s="39" t="s">
        <v>43</v>
      </c>
      <c r="H360" s="42">
        <v>554</v>
      </c>
      <c r="I360" s="42">
        <v>506</v>
      </c>
      <c r="J360" s="42">
        <v>523</v>
      </c>
      <c r="K360" s="42"/>
      <c r="L360" s="42"/>
      <c r="M360" s="42"/>
      <c r="N360" s="42">
        <v>692</v>
      </c>
      <c r="O360" s="42"/>
      <c r="P360" s="42"/>
      <c r="Q360" s="42">
        <f t="shared" si="90"/>
        <v>740.44</v>
      </c>
      <c r="R360" s="35">
        <f t="shared" si="85"/>
        <v>107</v>
      </c>
      <c r="S360" s="42"/>
      <c r="T360" s="42">
        <f t="shared" si="91"/>
        <v>799.6752</v>
      </c>
      <c r="U360" s="42">
        <f>T360+(T360*0.08)</f>
        <v>863.649216</v>
      </c>
      <c r="V360" s="46"/>
      <c r="W360" s="37">
        <f>J360/I360*100</f>
        <v>103.3596837944664</v>
      </c>
      <c r="X360" s="37">
        <f>N360/J360*100</f>
        <v>132.3135755258126</v>
      </c>
    </row>
    <row r="361" spans="1:24" ht="12.75">
      <c r="A361" s="39"/>
      <c r="B361" s="40"/>
      <c r="C361" s="39"/>
      <c r="D361" s="41"/>
      <c r="E361" s="39"/>
      <c r="F361" s="39">
        <v>159</v>
      </c>
      <c r="G361" s="39" t="s">
        <v>46</v>
      </c>
      <c r="H361" s="42">
        <v>2640</v>
      </c>
      <c r="I361" s="42">
        <v>2520</v>
      </c>
      <c r="J361" s="42">
        <v>2520</v>
      </c>
      <c r="K361" s="42"/>
      <c r="L361" s="42"/>
      <c r="M361" s="42"/>
      <c r="N361" s="42">
        <v>2520</v>
      </c>
      <c r="O361" s="42"/>
      <c r="P361" s="42"/>
      <c r="Q361" s="42">
        <f t="shared" si="90"/>
        <v>2696.4</v>
      </c>
      <c r="R361" s="35">
        <f t="shared" si="85"/>
        <v>107</v>
      </c>
      <c r="S361" s="42"/>
      <c r="T361" s="42">
        <f t="shared" si="91"/>
        <v>2912.112</v>
      </c>
      <c r="U361" s="42">
        <f>T361+(T361*0.08)</f>
        <v>3145.0809600000002</v>
      </c>
      <c r="V361" s="48"/>
      <c r="W361" s="37">
        <f>J361/I361*100</f>
        <v>100</v>
      </c>
      <c r="X361" s="37">
        <f>N361/J361*100</f>
        <v>100</v>
      </c>
    </row>
    <row r="362" spans="1:24" ht="25.5">
      <c r="A362" s="39"/>
      <c r="B362" s="40"/>
      <c r="C362" s="39"/>
      <c r="D362" s="41"/>
      <c r="E362" s="39"/>
      <c r="F362" s="39">
        <v>411</v>
      </c>
      <c r="G362" s="39" t="s">
        <v>49</v>
      </c>
      <c r="H362" s="42">
        <v>2300</v>
      </c>
      <c r="I362" s="42"/>
      <c r="J362" s="42"/>
      <c r="K362" s="42"/>
      <c r="L362" s="42"/>
      <c r="M362" s="42"/>
      <c r="N362" s="42"/>
      <c r="O362" s="42"/>
      <c r="P362" s="42"/>
      <c r="Q362" s="42"/>
      <c r="R362" s="35" t="e">
        <f t="shared" si="85"/>
        <v>#DIV/0!</v>
      </c>
      <c r="S362" s="42"/>
      <c r="T362" s="47"/>
      <c r="U362" s="42">
        <f>T362+(T362*0.06)</f>
        <v>0</v>
      </c>
      <c r="V362" s="46"/>
      <c r="W362" s="37" t="e">
        <f>J362/I362*100</f>
        <v>#DIV/0!</v>
      </c>
      <c r="X362" s="37"/>
    </row>
    <row r="363" spans="1:24" ht="76.5">
      <c r="A363" s="39"/>
      <c r="B363" s="40"/>
      <c r="C363" s="39"/>
      <c r="D363" s="41"/>
      <c r="E363" s="41">
        <v>11</v>
      </c>
      <c r="F363" s="39"/>
      <c r="G363" s="45" t="s">
        <v>105</v>
      </c>
      <c r="H363" s="42"/>
      <c r="I363" s="42"/>
      <c r="J363" s="42"/>
      <c r="K363" s="42"/>
      <c r="L363" s="42"/>
      <c r="M363" s="42"/>
      <c r="N363" s="42">
        <f>SUM(N364:N370)</f>
        <v>0</v>
      </c>
      <c r="O363" s="42"/>
      <c r="P363" s="42"/>
      <c r="Q363" s="42"/>
      <c r="R363" s="35" t="e">
        <f t="shared" si="85"/>
        <v>#DIV/0!</v>
      </c>
      <c r="S363" s="42"/>
      <c r="T363" s="47">
        <f>SUM(T364:T370)</f>
        <v>23741.219999999998</v>
      </c>
      <c r="U363" s="47">
        <f>SUM(U364:U370)</f>
        <v>23867.459999999995</v>
      </c>
      <c r="V363" s="46" t="s">
        <v>175</v>
      </c>
      <c r="W363" s="37"/>
      <c r="X363" s="37"/>
    </row>
    <row r="364" spans="1:24" ht="12.75">
      <c r="A364" s="39"/>
      <c r="B364" s="40"/>
      <c r="C364" s="39"/>
      <c r="D364" s="41"/>
      <c r="E364" s="41"/>
      <c r="F364" s="39">
        <v>111</v>
      </c>
      <c r="G364" s="31" t="s">
        <v>33</v>
      </c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35" t="e">
        <f t="shared" si="85"/>
        <v>#DIV/0!</v>
      </c>
      <c r="S364" s="42"/>
      <c r="T364" s="47">
        <v>18780</v>
      </c>
      <c r="U364" s="47">
        <v>18780</v>
      </c>
      <c r="V364" s="46"/>
      <c r="W364" s="37"/>
      <c r="X364" s="37"/>
    </row>
    <row r="365" spans="1:24" ht="12.75">
      <c r="A365" s="39"/>
      <c r="B365" s="40"/>
      <c r="C365" s="39"/>
      <c r="D365" s="41"/>
      <c r="E365" s="41"/>
      <c r="F365" s="39">
        <v>113</v>
      </c>
      <c r="G365" s="39" t="s">
        <v>35</v>
      </c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35" t="e">
        <f t="shared" si="85"/>
        <v>#DIV/0!</v>
      </c>
      <c r="S365" s="42"/>
      <c r="T365" s="47">
        <v>1524</v>
      </c>
      <c r="U365" s="47">
        <v>1524</v>
      </c>
      <c r="V365" s="46"/>
      <c r="W365" s="37"/>
      <c r="X365" s="37"/>
    </row>
    <row r="366" spans="1:24" ht="12.75">
      <c r="A366" s="39"/>
      <c r="B366" s="40"/>
      <c r="C366" s="39"/>
      <c r="D366" s="41"/>
      <c r="E366" s="41"/>
      <c r="F366" s="39">
        <v>121</v>
      </c>
      <c r="G366" s="39" t="s">
        <v>36</v>
      </c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35" t="e">
        <f t="shared" si="85"/>
        <v>#DIV/0!</v>
      </c>
      <c r="S366" s="42"/>
      <c r="T366" s="42">
        <f>(T364-(T364*0.1))*0.06</f>
        <v>1014.12</v>
      </c>
      <c r="U366" s="42">
        <f>(U364-(U364*0.1))*0.06</f>
        <v>1014.12</v>
      </c>
      <c r="V366" s="46"/>
      <c r="W366" s="37"/>
      <c r="X366" s="37"/>
    </row>
    <row r="367" spans="1:24" ht="25.5">
      <c r="A367" s="39"/>
      <c r="B367" s="40"/>
      <c r="C367" s="39"/>
      <c r="D367" s="41"/>
      <c r="E367" s="41"/>
      <c r="F367" s="39">
        <v>122</v>
      </c>
      <c r="G367" s="39" t="s">
        <v>37</v>
      </c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35" t="e">
        <f t="shared" si="85"/>
        <v>#DIV/0!</v>
      </c>
      <c r="S367" s="42"/>
      <c r="T367" s="42">
        <f>(T364-(T364*0.1))*0.05</f>
        <v>845.1</v>
      </c>
      <c r="U367" s="42">
        <f>(U364-(U364*0.1))*0.05</f>
        <v>845.1</v>
      </c>
      <c r="V367" s="46"/>
      <c r="W367" s="37"/>
      <c r="X367" s="37"/>
    </row>
    <row r="368" spans="1:24" ht="12.75">
      <c r="A368" s="39"/>
      <c r="B368" s="40"/>
      <c r="C368" s="39"/>
      <c r="D368" s="41"/>
      <c r="E368" s="41"/>
      <c r="F368" s="39">
        <v>139</v>
      </c>
      <c r="G368" s="31" t="s">
        <v>39</v>
      </c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35" t="e">
        <f t="shared" si="85"/>
        <v>#DIV/0!</v>
      </c>
      <c r="S368" s="42"/>
      <c r="T368" s="47">
        <v>822</v>
      </c>
      <c r="U368" s="42">
        <f>T368+(T368*0.08)</f>
        <v>887.76</v>
      </c>
      <c r="V368" s="46"/>
      <c r="W368" s="37"/>
      <c r="X368" s="37"/>
    </row>
    <row r="369" spans="1:24" ht="12.75">
      <c r="A369" s="39"/>
      <c r="B369" s="40"/>
      <c r="C369" s="39"/>
      <c r="D369" s="41"/>
      <c r="E369" s="41"/>
      <c r="F369" s="39">
        <v>149</v>
      </c>
      <c r="G369" s="31" t="s">
        <v>43</v>
      </c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35" t="e">
        <f t="shared" si="85"/>
        <v>#DIV/0!</v>
      </c>
      <c r="S369" s="42"/>
      <c r="T369" s="47">
        <v>60</v>
      </c>
      <c r="U369" s="42">
        <f>T369+(T369*0.08)</f>
        <v>64.8</v>
      </c>
      <c r="V369" s="46"/>
      <c r="W369" s="37"/>
      <c r="X369" s="37"/>
    </row>
    <row r="370" spans="1:24" ht="12.75">
      <c r="A370" s="39"/>
      <c r="B370" s="40"/>
      <c r="C370" s="39"/>
      <c r="D370" s="41"/>
      <c r="E370" s="41"/>
      <c r="F370" s="39">
        <v>159</v>
      </c>
      <c r="G370" s="31" t="s">
        <v>46</v>
      </c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35" t="e">
        <f t="shared" si="85"/>
        <v>#DIV/0!</v>
      </c>
      <c r="S370" s="42"/>
      <c r="T370" s="47">
        <v>696</v>
      </c>
      <c r="U370" s="42">
        <f>T370+(T370*0.08)</f>
        <v>751.68</v>
      </c>
      <c r="V370" s="46"/>
      <c r="W370" s="37"/>
      <c r="X370" s="37"/>
    </row>
    <row r="371" spans="1:25" ht="12.75">
      <c r="A371" s="39"/>
      <c r="B371" s="40"/>
      <c r="C371" s="39"/>
      <c r="D371" s="41">
        <v>16</v>
      </c>
      <c r="E371" s="39"/>
      <c r="F371" s="39"/>
      <c r="G371" s="45" t="s">
        <v>176</v>
      </c>
      <c r="H371" s="42">
        <f>H372+H374</f>
        <v>29629</v>
      </c>
      <c r="I371" s="42">
        <f>I374</f>
        <v>32264</v>
      </c>
      <c r="J371" s="42">
        <f>J372+J374</f>
        <v>42971</v>
      </c>
      <c r="K371" s="42">
        <f>42971-14000</f>
        <v>28971</v>
      </c>
      <c r="L371" s="42">
        <v>44689</v>
      </c>
      <c r="M371" s="42">
        <v>45979</v>
      </c>
      <c r="N371" s="42">
        <f>N374</f>
        <v>31979</v>
      </c>
      <c r="O371" s="42"/>
      <c r="P371" s="42">
        <v>27971</v>
      </c>
      <c r="Q371" s="42">
        <f>Q375</f>
        <v>32618.58</v>
      </c>
      <c r="R371" s="35">
        <f t="shared" si="85"/>
        <v>102</v>
      </c>
      <c r="S371" s="42"/>
      <c r="T371" s="42">
        <f>T375</f>
        <v>35228.0664</v>
      </c>
      <c r="U371" s="42">
        <f>U375</f>
        <v>38046.31171200001</v>
      </c>
      <c r="V371" s="48"/>
      <c r="W371" s="37">
        <f>J371/I371*100</f>
        <v>133.18559385073146</v>
      </c>
      <c r="X371" s="37">
        <f>N371/J371*100</f>
        <v>74.41995764585418</v>
      </c>
      <c r="Y371" s="44">
        <v>-6500</v>
      </c>
    </row>
    <row r="372" spans="1:24" ht="12.75">
      <c r="A372" s="39"/>
      <c r="B372" s="40"/>
      <c r="C372" s="39"/>
      <c r="D372" s="41"/>
      <c r="E372" s="39" t="s">
        <v>104</v>
      </c>
      <c r="F372" s="39"/>
      <c r="G372" s="39" t="s">
        <v>105</v>
      </c>
      <c r="H372" s="42">
        <f>H373</f>
        <v>0</v>
      </c>
      <c r="I372" s="42">
        <f>I373</f>
        <v>0</v>
      </c>
      <c r="J372" s="42">
        <f>J373</f>
        <v>0</v>
      </c>
      <c r="K372" s="42"/>
      <c r="L372" s="42"/>
      <c r="M372" s="42"/>
      <c r="N372" s="42">
        <f>N373</f>
        <v>0</v>
      </c>
      <c r="O372" s="42"/>
      <c r="P372" s="42"/>
      <c r="Q372" s="42"/>
      <c r="R372" s="35" t="e">
        <f t="shared" si="85"/>
        <v>#DIV/0!</v>
      </c>
      <c r="S372" s="42"/>
      <c r="T372" s="47"/>
      <c r="U372" s="35"/>
      <c r="V372" s="46"/>
      <c r="W372" s="37"/>
      <c r="X372" s="37"/>
    </row>
    <row r="373" spans="1:24" ht="12.75">
      <c r="A373" s="39"/>
      <c r="B373" s="40"/>
      <c r="C373" s="39"/>
      <c r="D373" s="41"/>
      <c r="E373" s="39"/>
      <c r="F373" s="39">
        <v>332</v>
      </c>
      <c r="G373" s="39" t="s">
        <v>112</v>
      </c>
      <c r="H373" s="42"/>
      <c r="I373" s="42">
        <f>H373+(H373*0.08)</f>
        <v>0</v>
      </c>
      <c r="J373" s="42">
        <f>I373+(I373*0.075)</f>
        <v>0</v>
      </c>
      <c r="K373" s="42"/>
      <c r="L373" s="42"/>
      <c r="M373" s="42"/>
      <c r="N373" s="42">
        <f>J373+(J373*0.07)</f>
        <v>0</v>
      </c>
      <c r="O373" s="42"/>
      <c r="P373" s="42"/>
      <c r="Q373" s="42"/>
      <c r="R373" s="35" t="e">
        <f t="shared" si="85"/>
        <v>#DIV/0!</v>
      </c>
      <c r="S373" s="42"/>
      <c r="T373" s="47"/>
      <c r="U373" s="35"/>
      <c r="V373" s="46"/>
      <c r="W373" s="37"/>
      <c r="X373" s="37"/>
    </row>
    <row r="374" spans="1:24" ht="12.75">
      <c r="A374" s="39"/>
      <c r="B374" s="40"/>
      <c r="C374" s="39"/>
      <c r="D374" s="41"/>
      <c r="E374" s="39" t="s">
        <v>106</v>
      </c>
      <c r="F374" s="39"/>
      <c r="G374" s="39" t="s">
        <v>107</v>
      </c>
      <c r="H374" s="42">
        <f>H375</f>
        <v>29629</v>
      </c>
      <c r="I374" s="42">
        <f>I375</f>
        <v>32264</v>
      </c>
      <c r="J374" s="42">
        <f>J375</f>
        <v>42971</v>
      </c>
      <c r="K374" s="42"/>
      <c r="L374" s="42"/>
      <c r="M374" s="42"/>
      <c r="N374" s="42">
        <f>N375</f>
        <v>31979</v>
      </c>
      <c r="O374" s="42"/>
      <c r="P374" s="42"/>
      <c r="Q374" s="42">
        <f>Q375</f>
        <v>32618.58</v>
      </c>
      <c r="R374" s="35">
        <f t="shared" si="85"/>
        <v>102</v>
      </c>
      <c r="S374" s="42"/>
      <c r="T374" s="42">
        <f>T375</f>
        <v>35228.0664</v>
      </c>
      <c r="U374" s="42">
        <f>U375</f>
        <v>38046.31171200001</v>
      </c>
      <c r="V374" s="46"/>
      <c r="W374" s="37">
        <f>J374/I374*100</f>
        <v>133.18559385073146</v>
      </c>
      <c r="X374" s="37">
        <f>N374/J374*100</f>
        <v>74.41995764585418</v>
      </c>
    </row>
    <row r="375" spans="1:24" ht="12.75">
      <c r="A375" s="39"/>
      <c r="B375" s="40"/>
      <c r="C375" s="39"/>
      <c r="D375" s="41"/>
      <c r="E375" s="39"/>
      <c r="F375" s="39">
        <v>332</v>
      </c>
      <c r="G375" s="39" t="s">
        <v>112</v>
      </c>
      <c r="H375" s="42">
        <v>29629</v>
      </c>
      <c r="I375" s="42">
        <v>32264</v>
      </c>
      <c r="J375" s="42">
        <v>42971</v>
      </c>
      <c r="K375" s="42"/>
      <c r="L375" s="42"/>
      <c r="M375" s="42"/>
      <c r="N375" s="42">
        <v>31979</v>
      </c>
      <c r="O375" s="42"/>
      <c r="P375" s="42"/>
      <c r="Q375" s="42">
        <f>N375*1.02</f>
        <v>32618.58</v>
      </c>
      <c r="R375" s="35">
        <f t="shared" si="85"/>
        <v>102</v>
      </c>
      <c r="S375" s="42"/>
      <c r="T375" s="47">
        <f>Q375*1.08</f>
        <v>35228.0664</v>
      </c>
      <c r="U375" s="47">
        <f>T375*1.08</f>
        <v>38046.31171200001</v>
      </c>
      <c r="V375" s="46"/>
      <c r="W375" s="37">
        <f>J375/I375*100</f>
        <v>133.18559385073146</v>
      </c>
      <c r="X375" s="37">
        <f>N375/J375*100</f>
        <v>74.41995764585418</v>
      </c>
    </row>
    <row r="376" spans="1:25" ht="76.5">
      <c r="A376" s="39"/>
      <c r="B376" s="40"/>
      <c r="C376" s="39"/>
      <c r="D376" s="41">
        <v>17</v>
      </c>
      <c r="E376" s="39"/>
      <c r="F376" s="39"/>
      <c r="G376" s="45" t="s">
        <v>177</v>
      </c>
      <c r="H376" s="42">
        <f>H377+H381</f>
        <v>44010</v>
      </c>
      <c r="I376" s="42">
        <f>SUM(I377:I378)</f>
        <v>53044</v>
      </c>
      <c r="J376" s="42">
        <f>SUM(J377:J378)</f>
        <v>56757</v>
      </c>
      <c r="K376" s="42">
        <f>56757+28000</f>
        <v>84757</v>
      </c>
      <c r="L376" s="42">
        <v>88730</v>
      </c>
      <c r="M376" s="42"/>
      <c r="N376" s="42">
        <f>60730-3900+32000</f>
        <v>88830</v>
      </c>
      <c r="O376" s="42"/>
      <c r="P376" s="42">
        <v>83757</v>
      </c>
      <c r="Q376" s="42">
        <f>Q377+Q378+12000</f>
        <v>101048.1</v>
      </c>
      <c r="R376" s="35">
        <f t="shared" si="85"/>
        <v>113.75447483958123</v>
      </c>
      <c r="S376" s="42"/>
      <c r="T376" s="42">
        <f>T377+T378+33000</f>
        <v>129171.948</v>
      </c>
      <c r="U376" s="42">
        <f>U377+U378+33000</f>
        <v>136865.70384000003</v>
      </c>
      <c r="V376" s="46"/>
      <c r="W376" s="37">
        <f>J376/I376*100</f>
        <v>106.99984918181133</v>
      </c>
      <c r="X376" s="37">
        <f>N376/J376*100</f>
        <v>156.5093292457318</v>
      </c>
      <c r="Y376" s="44">
        <v>-6000</v>
      </c>
    </row>
    <row r="377" spans="1:24" ht="12.75">
      <c r="A377" s="39"/>
      <c r="B377" s="40"/>
      <c r="C377" s="39"/>
      <c r="D377" s="41"/>
      <c r="E377" s="39"/>
      <c r="F377" s="39">
        <v>139</v>
      </c>
      <c r="G377" s="39" t="s">
        <v>39</v>
      </c>
      <c r="H377" s="42">
        <v>5700</v>
      </c>
      <c r="I377" s="42">
        <v>11000</v>
      </c>
      <c r="J377" s="42">
        <v>10000</v>
      </c>
      <c r="K377" s="42"/>
      <c r="L377" s="42"/>
      <c r="M377" s="42"/>
      <c r="N377" s="42">
        <v>20428</v>
      </c>
      <c r="O377" s="42"/>
      <c r="P377" s="42"/>
      <c r="Q377" s="42">
        <f>N377*1.07</f>
        <v>21857.960000000003</v>
      </c>
      <c r="R377" s="35">
        <f t="shared" si="85"/>
        <v>107</v>
      </c>
      <c r="S377" s="42"/>
      <c r="T377" s="47">
        <f>Q377*1.08</f>
        <v>23606.596800000003</v>
      </c>
      <c r="U377" s="47">
        <f>T377*1.08</f>
        <v>25495.124544000006</v>
      </c>
      <c r="V377" s="46"/>
      <c r="W377" s="37">
        <f>J377/I377*100</f>
        <v>90.9090909090909</v>
      </c>
      <c r="X377" s="37">
        <f>N377/J377*100</f>
        <v>204.28000000000003</v>
      </c>
    </row>
    <row r="378" spans="1:24" ht="12.75">
      <c r="A378" s="39"/>
      <c r="B378" s="40"/>
      <c r="C378" s="39"/>
      <c r="D378" s="41"/>
      <c r="E378" s="39"/>
      <c r="F378" s="39">
        <v>149</v>
      </c>
      <c r="G378" s="39" t="s">
        <v>43</v>
      </c>
      <c r="H378" s="42"/>
      <c r="I378" s="42">
        <v>42044</v>
      </c>
      <c r="J378" s="42">
        <v>46757</v>
      </c>
      <c r="K378" s="42"/>
      <c r="L378" s="42"/>
      <c r="M378" s="42"/>
      <c r="N378" s="42">
        <v>68402</v>
      </c>
      <c r="O378" s="42"/>
      <c r="P378" s="42"/>
      <c r="Q378" s="42">
        <f>N378*1.07-6000</f>
        <v>67190.14</v>
      </c>
      <c r="R378" s="35">
        <f t="shared" si="85"/>
        <v>98.22832665711529</v>
      </c>
      <c r="S378" s="42"/>
      <c r="T378" s="47">
        <f>Q378*1.08</f>
        <v>72565.3512</v>
      </c>
      <c r="U378" s="47">
        <f>T378*1.08</f>
        <v>78370.57929600001</v>
      </c>
      <c r="V378" s="46"/>
      <c r="W378" s="37"/>
      <c r="X378" s="37"/>
    </row>
    <row r="379" spans="1:24" ht="25.5">
      <c r="A379" s="39"/>
      <c r="B379" s="40"/>
      <c r="C379" s="39"/>
      <c r="D379" s="41">
        <v>19</v>
      </c>
      <c r="E379" s="39"/>
      <c r="F379" s="39"/>
      <c r="G379" s="45" t="s">
        <v>178</v>
      </c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35" t="e">
        <f t="shared" si="85"/>
        <v>#DIV/0!</v>
      </c>
      <c r="S379" s="42"/>
      <c r="T379" s="47"/>
      <c r="U379" s="35"/>
      <c r="V379" s="46"/>
      <c r="W379" s="37"/>
      <c r="X379" s="37"/>
    </row>
    <row r="380" spans="1:24" ht="38.25">
      <c r="A380" s="39"/>
      <c r="B380" s="40"/>
      <c r="C380" s="39"/>
      <c r="D380" s="41">
        <v>20</v>
      </c>
      <c r="E380" s="39"/>
      <c r="F380" s="39"/>
      <c r="G380" s="45" t="s">
        <v>179</v>
      </c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35" t="e">
        <f t="shared" si="85"/>
        <v>#DIV/0!</v>
      </c>
      <c r="S380" s="42"/>
      <c r="T380" s="47"/>
      <c r="U380" s="35"/>
      <c r="V380" s="46"/>
      <c r="W380" s="37"/>
      <c r="X380" s="37"/>
    </row>
    <row r="381" spans="1:24" ht="12.75">
      <c r="A381" s="39"/>
      <c r="B381" s="40"/>
      <c r="C381" s="39"/>
      <c r="D381" s="41"/>
      <c r="E381" s="39"/>
      <c r="F381" s="39">
        <v>149</v>
      </c>
      <c r="G381" s="39" t="s">
        <v>43</v>
      </c>
      <c r="H381" s="42">
        <v>38310</v>
      </c>
      <c r="I381" s="42"/>
      <c r="J381" s="42"/>
      <c r="K381" s="42"/>
      <c r="L381" s="42"/>
      <c r="M381" s="42"/>
      <c r="N381" s="42"/>
      <c r="O381" s="42"/>
      <c r="P381" s="42"/>
      <c r="Q381" s="42"/>
      <c r="R381" s="35" t="e">
        <f t="shared" si="85"/>
        <v>#DIV/0!</v>
      </c>
      <c r="S381" s="42"/>
      <c r="T381" s="47"/>
      <c r="U381" s="35"/>
      <c r="V381" s="46"/>
      <c r="W381" s="37" t="e">
        <f aca="true" t="shared" si="92" ref="W381:W407">J381/I381*100</f>
        <v>#DIV/0!</v>
      </c>
      <c r="X381" s="37" t="e">
        <f aca="true" t="shared" si="93" ref="X381:X407">N381/J381*100</f>
        <v>#DIV/0!</v>
      </c>
    </row>
    <row r="382" spans="1:24" ht="25.5">
      <c r="A382" s="39"/>
      <c r="B382" s="40"/>
      <c r="C382" s="39"/>
      <c r="D382" s="41">
        <v>23</v>
      </c>
      <c r="E382" s="39"/>
      <c r="F382" s="39"/>
      <c r="G382" s="58" t="s">
        <v>180</v>
      </c>
      <c r="H382" s="42"/>
      <c r="I382" s="42"/>
      <c r="J382" s="42"/>
      <c r="K382" s="42"/>
      <c r="L382" s="42"/>
      <c r="M382" s="42"/>
      <c r="N382" s="42">
        <f>SUM(N383:N391)</f>
        <v>0</v>
      </c>
      <c r="O382" s="42"/>
      <c r="P382" s="42"/>
      <c r="Q382" s="42">
        <v>19610</v>
      </c>
      <c r="R382" s="35" t="e">
        <f t="shared" si="85"/>
        <v>#DIV/0!</v>
      </c>
      <c r="S382" s="42"/>
      <c r="T382" s="47"/>
      <c r="U382" s="47"/>
      <c r="V382" s="46"/>
      <c r="W382" s="37"/>
      <c r="X382" s="37"/>
    </row>
    <row r="383" spans="1:24" ht="12.75">
      <c r="A383" s="39"/>
      <c r="B383" s="40"/>
      <c r="C383" s="39"/>
      <c r="D383" s="41"/>
      <c r="E383" s="39"/>
      <c r="F383" s="39">
        <v>111</v>
      </c>
      <c r="G383" s="31" t="s">
        <v>33</v>
      </c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35" t="e">
        <f t="shared" si="85"/>
        <v>#DIV/0!</v>
      </c>
      <c r="S383" s="42"/>
      <c r="T383" s="47"/>
      <c r="U383" s="47"/>
      <c r="V383" s="46"/>
      <c r="W383" s="37"/>
      <c r="X383" s="37"/>
    </row>
    <row r="384" spans="1:24" ht="12.75">
      <c r="A384" s="39"/>
      <c r="B384" s="40"/>
      <c r="C384" s="39"/>
      <c r="D384" s="41"/>
      <c r="E384" s="39"/>
      <c r="F384" s="39">
        <v>113</v>
      </c>
      <c r="G384" s="39" t="s">
        <v>35</v>
      </c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35" t="e">
        <f t="shared" si="85"/>
        <v>#DIV/0!</v>
      </c>
      <c r="S384" s="42"/>
      <c r="T384" s="47"/>
      <c r="U384" s="47"/>
      <c r="V384" s="46"/>
      <c r="W384" s="37"/>
      <c r="X384" s="37"/>
    </row>
    <row r="385" spans="1:24" ht="12.75">
      <c r="A385" s="39"/>
      <c r="B385" s="40"/>
      <c r="C385" s="39"/>
      <c r="D385" s="41"/>
      <c r="E385" s="39"/>
      <c r="F385" s="39">
        <v>121</v>
      </c>
      <c r="G385" s="39" t="s">
        <v>36</v>
      </c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35" t="e">
        <f t="shared" si="85"/>
        <v>#DIV/0!</v>
      </c>
      <c r="S385" s="42"/>
      <c r="T385" s="42"/>
      <c r="U385" s="42"/>
      <c r="V385" s="46"/>
      <c r="W385" s="37"/>
      <c r="X385" s="37"/>
    </row>
    <row r="386" spans="1:24" ht="25.5">
      <c r="A386" s="39"/>
      <c r="B386" s="40"/>
      <c r="C386" s="39"/>
      <c r="D386" s="41"/>
      <c r="E386" s="39"/>
      <c r="F386" s="39">
        <v>122</v>
      </c>
      <c r="G386" s="39" t="s">
        <v>37</v>
      </c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35" t="e">
        <f t="shared" si="85"/>
        <v>#DIV/0!</v>
      </c>
      <c r="S386" s="42"/>
      <c r="T386" s="42"/>
      <c r="U386" s="42"/>
      <c r="V386" s="46"/>
      <c r="W386" s="37"/>
      <c r="X386" s="37"/>
    </row>
    <row r="387" spans="1:24" ht="38.25">
      <c r="A387" s="39"/>
      <c r="B387" s="40"/>
      <c r="C387" s="39"/>
      <c r="D387" s="41"/>
      <c r="E387" s="39"/>
      <c r="F387" s="39">
        <v>125</v>
      </c>
      <c r="G387" s="39" t="s">
        <v>38</v>
      </c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35" t="e">
        <f t="shared" si="85"/>
        <v>#DIV/0!</v>
      </c>
      <c r="S387" s="42"/>
      <c r="T387" s="47"/>
      <c r="U387" s="35"/>
      <c r="V387" s="46"/>
      <c r="W387" s="37"/>
      <c r="X387" s="37"/>
    </row>
    <row r="388" spans="1:24" ht="12.75">
      <c r="A388" s="39"/>
      <c r="B388" s="40"/>
      <c r="C388" s="39"/>
      <c r="D388" s="41"/>
      <c r="E388" s="39"/>
      <c r="F388" s="39">
        <v>139</v>
      </c>
      <c r="G388" s="31" t="s">
        <v>39</v>
      </c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35" t="e">
        <f t="shared" si="85"/>
        <v>#DIV/0!</v>
      </c>
      <c r="S388" s="42"/>
      <c r="T388" s="47"/>
      <c r="U388" s="35"/>
      <c r="V388" s="46"/>
      <c r="W388" s="37"/>
      <c r="X388" s="37"/>
    </row>
    <row r="389" spans="1:24" ht="12.75">
      <c r="A389" s="39"/>
      <c r="B389" s="40"/>
      <c r="C389" s="39"/>
      <c r="D389" s="41"/>
      <c r="E389" s="39"/>
      <c r="F389" s="39">
        <v>147</v>
      </c>
      <c r="G389" s="39" t="s">
        <v>174</v>
      </c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35" t="e">
        <f t="shared" si="85"/>
        <v>#DIV/0!</v>
      </c>
      <c r="S389" s="42"/>
      <c r="T389" s="47"/>
      <c r="U389" s="35"/>
      <c r="V389" s="46"/>
      <c r="W389" s="37"/>
      <c r="X389" s="37"/>
    </row>
    <row r="390" spans="1:24" ht="12.75">
      <c r="A390" s="39"/>
      <c r="B390" s="40"/>
      <c r="C390" s="39"/>
      <c r="D390" s="41"/>
      <c r="E390" s="39"/>
      <c r="F390" s="39">
        <v>142</v>
      </c>
      <c r="G390" s="39" t="s">
        <v>40</v>
      </c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35" t="e">
        <f t="shared" si="85"/>
        <v>#DIV/0!</v>
      </c>
      <c r="S390" s="42"/>
      <c r="T390" s="47"/>
      <c r="U390" s="35"/>
      <c r="V390" s="46"/>
      <c r="W390" s="37"/>
      <c r="X390" s="37"/>
    </row>
    <row r="391" spans="1:24" ht="12.75">
      <c r="A391" s="39"/>
      <c r="B391" s="40"/>
      <c r="C391" s="39"/>
      <c r="D391" s="41"/>
      <c r="E391" s="39"/>
      <c r="F391" s="39">
        <v>149</v>
      </c>
      <c r="G391" s="31" t="s">
        <v>43</v>
      </c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35" t="e">
        <f t="shared" si="85"/>
        <v>#DIV/0!</v>
      </c>
      <c r="S391" s="42"/>
      <c r="T391" s="47"/>
      <c r="U391" s="35"/>
      <c r="V391" s="46"/>
      <c r="W391" s="37"/>
      <c r="X391" s="37"/>
    </row>
    <row r="392" spans="1:24" ht="25.5">
      <c r="A392" s="39"/>
      <c r="B392" s="40"/>
      <c r="C392" s="39">
        <v>464</v>
      </c>
      <c r="D392" s="41"/>
      <c r="E392" s="39"/>
      <c r="F392" s="39"/>
      <c r="G392" s="39" t="s">
        <v>101</v>
      </c>
      <c r="H392" s="42">
        <f>H393</f>
        <v>2154</v>
      </c>
      <c r="I392" s="42">
        <f>I393</f>
        <v>1387</v>
      </c>
      <c r="J392" s="42">
        <f>J393</f>
        <v>150484</v>
      </c>
      <c r="K392" s="42"/>
      <c r="L392" s="42"/>
      <c r="M392" s="42"/>
      <c r="N392" s="42">
        <f>N393</f>
        <v>162800</v>
      </c>
      <c r="O392" s="42"/>
      <c r="P392" s="42"/>
      <c r="Q392" s="42">
        <f>Q393</f>
        <v>166080.69999999998</v>
      </c>
      <c r="R392" s="35">
        <f t="shared" si="85"/>
        <v>102.01517199017198</v>
      </c>
      <c r="S392" s="42"/>
      <c r="T392" s="42">
        <f>T393</f>
        <v>179367.15600000002</v>
      </c>
      <c r="U392" s="42">
        <f>U393</f>
        <v>193716.52848000004</v>
      </c>
      <c r="V392" s="46"/>
      <c r="W392" s="37">
        <f t="shared" si="92"/>
        <v>10849.603460706561</v>
      </c>
      <c r="X392" s="37">
        <f t="shared" si="93"/>
        <v>108.18425879163233</v>
      </c>
    </row>
    <row r="393" spans="1:24" ht="76.5">
      <c r="A393" s="39"/>
      <c r="B393" s="40"/>
      <c r="C393" s="39"/>
      <c r="D393" s="41">
        <v>8</v>
      </c>
      <c r="E393" s="39"/>
      <c r="F393" s="39"/>
      <c r="G393" s="45" t="s">
        <v>181</v>
      </c>
      <c r="H393" s="42">
        <f>H394</f>
        <v>2154</v>
      </c>
      <c r="I393" s="42">
        <f>SUM(I395:I396)</f>
        <v>1387</v>
      </c>
      <c r="J393" s="42">
        <f>J394</f>
        <v>150484</v>
      </c>
      <c r="K393" s="42">
        <f>K394</f>
        <v>0</v>
      </c>
      <c r="L393" s="42">
        <f>L394</f>
        <v>0</v>
      </c>
      <c r="M393" s="42">
        <f>M394</f>
        <v>0</v>
      </c>
      <c r="N393" s="42">
        <f>N394</f>
        <v>162800</v>
      </c>
      <c r="O393" s="42">
        <f>O394</f>
        <v>0</v>
      </c>
      <c r="P393" s="42"/>
      <c r="Q393" s="42">
        <f>Q394</f>
        <v>166080.69999999998</v>
      </c>
      <c r="R393" s="35">
        <f t="shared" si="85"/>
        <v>102.01517199017198</v>
      </c>
      <c r="S393" s="42"/>
      <c r="T393" s="42">
        <f>T394</f>
        <v>179367.15600000002</v>
      </c>
      <c r="U393" s="42">
        <f>U394</f>
        <v>193716.52848000004</v>
      </c>
      <c r="V393" s="46" t="s">
        <v>182</v>
      </c>
      <c r="W393" s="37">
        <f t="shared" si="92"/>
        <v>10849.603460706561</v>
      </c>
      <c r="X393" s="37">
        <f t="shared" si="93"/>
        <v>108.18425879163233</v>
      </c>
    </row>
    <row r="394" spans="1:24" ht="38.25">
      <c r="A394" s="39"/>
      <c r="B394" s="40"/>
      <c r="C394" s="39"/>
      <c r="D394" s="41"/>
      <c r="E394" s="39">
        <v>100</v>
      </c>
      <c r="F394" s="39"/>
      <c r="G394" s="39" t="s">
        <v>183</v>
      </c>
      <c r="H394" s="42">
        <f>H395+H396</f>
        <v>2154</v>
      </c>
      <c r="I394" s="42"/>
      <c r="J394" s="42">
        <f>J395+J396</f>
        <v>150484</v>
      </c>
      <c r="K394" s="42">
        <f aca="true" t="shared" si="94" ref="K394:U394">K395+K396</f>
        <v>0</v>
      </c>
      <c r="L394" s="42">
        <f t="shared" si="94"/>
        <v>0</v>
      </c>
      <c r="M394" s="42">
        <f t="shared" si="94"/>
        <v>0</v>
      </c>
      <c r="N394" s="42">
        <f t="shared" si="94"/>
        <v>162800</v>
      </c>
      <c r="O394" s="42">
        <f t="shared" si="94"/>
        <v>0</v>
      </c>
      <c r="P394" s="42"/>
      <c r="Q394" s="42">
        <f t="shared" si="94"/>
        <v>166080.69999999998</v>
      </c>
      <c r="R394" s="35">
        <f t="shared" si="85"/>
        <v>102.01517199017198</v>
      </c>
      <c r="S394" s="42"/>
      <c r="T394" s="42">
        <f t="shared" si="94"/>
        <v>179367.15600000002</v>
      </c>
      <c r="U394" s="42">
        <f t="shared" si="94"/>
        <v>193716.52848000004</v>
      </c>
      <c r="V394" s="46">
        <v>163</v>
      </c>
      <c r="W394" s="37" t="e">
        <f t="shared" si="92"/>
        <v>#DIV/0!</v>
      </c>
      <c r="X394" s="37">
        <f t="shared" si="93"/>
        <v>108.18425879163233</v>
      </c>
    </row>
    <row r="395" spans="1:24" ht="12.75">
      <c r="A395" s="39"/>
      <c r="B395" s="40"/>
      <c r="C395" s="39"/>
      <c r="D395" s="41"/>
      <c r="E395" s="39"/>
      <c r="F395" s="39">
        <v>149</v>
      </c>
      <c r="G395" s="39" t="s">
        <v>43</v>
      </c>
      <c r="H395" s="42">
        <v>14</v>
      </c>
      <c r="I395" s="42">
        <v>8</v>
      </c>
      <c r="J395" s="42">
        <v>787</v>
      </c>
      <c r="K395" s="42"/>
      <c r="L395" s="42"/>
      <c r="M395" s="42"/>
      <c r="N395" s="42">
        <v>494</v>
      </c>
      <c r="O395" s="42"/>
      <c r="P395" s="42"/>
      <c r="Q395" s="42">
        <f>N395+(N395*0.07)</f>
        <v>528.58</v>
      </c>
      <c r="R395" s="35">
        <f aca="true" t="shared" si="95" ref="R395:R458">Q395/N395*100</f>
        <v>107</v>
      </c>
      <c r="S395" s="42"/>
      <c r="T395" s="47">
        <f>Q395*1.08</f>
        <v>570.8664000000001</v>
      </c>
      <c r="U395" s="47">
        <f>T395*1.08</f>
        <v>616.5357120000002</v>
      </c>
      <c r="V395" s="46"/>
      <c r="W395" s="37">
        <f t="shared" si="92"/>
        <v>9837.5</v>
      </c>
      <c r="X395" s="37">
        <f t="shared" si="93"/>
        <v>62.7700127064803</v>
      </c>
    </row>
    <row r="396" spans="1:24" ht="12.75">
      <c r="A396" s="39"/>
      <c r="B396" s="40"/>
      <c r="C396" s="39"/>
      <c r="D396" s="41"/>
      <c r="E396" s="39"/>
      <c r="F396" s="39">
        <v>332</v>
      </c>
      <c r="G396" s="39" t="s">
        <v>112</v>
      </c>
      <c r="H396" s="42">
        <v>2140</v>
      </c>
      <c r="I396" s="42">
        <v>1379</v>
      </c>
      <c r="J396" s="42">
        <v>149697</v>
      </c>
      <c r="K396" s="42"/>
      <c r="L396" s="42"/>
      <c r="M396" s="42"/>
      <c r="N396" s="42">
        <v>162306</v>
      </c>
      <c r="O396" s="42"/>
      <c r="P396" s="42"/>
      <c r="Q396" s="42">
        <f>N396*1.02</f>
        <v>165552.12</v>
      </c>
      <c r="R396" s="35">
        <f t="shared" si="95"/>
        <v>102</v>
      </c>
      <c r="S396" s="42"/>
      <c r="T396" s="47">
        <f>Q396*1.08</f>
        <v>178796.28960000002</v>
      </c>
      <c r="U396" s="47">
        <f>T396*1.08</f>
        <v>193099.99276800003</v>
      </c>
      <c r="V396" s="48" t="s">
        <v>184</v>
      </c>
      <c r="W396" s="37">
        <f t="shared" si="92"/>
        <v>10855.47498187092</v>
      </c>
      <c r="X396" s="37">
        <f t="shared" si="93"/>
        <v>108.42301448926833</v>
      </c>
    </row>
    <row r="397" spans="1:24" ht="25.5">
      <c r="A397" s="39"/>
      <c r="B397" s="40" t="s">
        <v>134</v>
      </c>
      <c r="C397" s="39"/>
      <c r="D397" s="41"/>
      <c r="E397" s="39"/>
      <c r="F397" s="39"/>
      <c r="G397" s="39" t="s">
        <v>185</v>
      </c>
      <c r="H397" s="42" t="e">
        <f aca="true" t="shared" si="96" ref="H397:U397">H398</f>
        <v>#REF!</v>
      </c>
      <c r="I397" s="42">
        <f t="shared" si="96"/>
        <v>49096.804000000004</v>
      </c>
      <c r="J397" s="42">
        <f t="shared" si="96"/>
        <v>55442.184</v>
      </c>
      <c r="K397" s="42"/>
      <c r="L397" s="42"/>
      <c r="M397" s="42"/>
      <c r="N397" s="42">
        <f t="shared" si="96"/>
        <v>60647.424</v>
      </c>
      <c r="O397" s="42"/>
      <c r="P397" s="42"/>
      <c r="Q397" s="42">
        <f t="shared" si="96"/>
        <v>66779.394</v>
      </c>
      <c r="R397" s="35">
        <f t="shared" si="95"/>
        <v>110.11084988539662</v>
      </c>
      <c r="S397" s="42"/>
      <c r="T397" s="42">
        <f t="shared" si="96"/>
        <v>65484.43119999999</v>
      </c>
      <c r="U397" s="42">
        <f t="shared" si="96"/>
        <v>63364.271775999994</v>
      </c>
      <c r="V397" s="46"/>
      <c r="W397" s="37">
        <f t="shared" si="92"/>
        <v>112.92422211433559</v>
      </c>
      <c r="X397" s="37">
        <f t="shared" si="93"/>
        <v>109.38859118536888</v>
      </c>
    </row>
    <row r="398" spans="1:24" ht="25.5">
      <c r="A398" s="39"/>
      <c r="B398" s="40"/>
      <c r="C398" s="39">
        <v>451</v>
      </c>
      <c r="D398" s="41"/>
      <c r="E398" s="39"/>
      <c r="F398" s="39"/>
      <c r="G398" s="39" t="s">
        <v>155</v>
      </c>
      <c r="H398" s="42" t="e">
        <f>H399+H422+#REF!</f>
        <v>#REF!</v>
      </c>
      <c r="I398" s="42">
        <f>I399+I422</f>
        <v>49096.804000000004</v>
      </c>
      <c r="J398" s="42">
        <f>J399+J422</f>
        <v>55442.184</v>
      </c>
      <c r="K398" s="42"/>
      <c r="L398" s="42"/>
      <c r="M398" s="42"/>
      <c r="N398" s="42">
        <f>N399+N422</f>
        <v>60647.424</v>
      </c>
      <c r="O398" s="42"/>
      <c r="P398" s="42"/>
      <c r="Q398" s="42">
        <f>Q399+Q422</f>
        <v>66779.394</v>
      </c>
      <c r="R398" s="35">
        <f t="shared" si="95"/>
        <v>110.11084988539662</v>
      </c>
      <c r="S398" s="42"/>
      <c r="T398" s="42">
        <f>T399+T422</f>
        <v>65484.43119999999</v>
      </c>
      <c r="U398" s="42">
        <f>U399+U422</f>
        <v>63364.271775999994</v>
      </c>
      <c r="V398" s="46"/>
      <c r="W398" s="37">
        <f t="shared" si="92"/>
        <v>112.92422211433559</v>
      </c>
      <c r="X398" s="37">
        <f t="shared" si="93"/>
        <v>109.38859118536888</v>
      </c>
    </row>
    <row r="399" spans="1:24" ht="51">
      <c r="A399" s="39"/>
      <c r="B399" s="40"/>
      <c r="C399" s="39"/>
      <c r="D399" s="41">
        <v>1</v>
      </c>
      <c r="E399" s="39"/>
      <c r="F399" s="39"/>
      <c r="G399" s="45" t="s">
        <v>186</v>
      </c>
      <c r="H399" s="42" t="e">
        <f>#REF!+H415+H417+H420</f>
        <v>#REF!</v>
      </c>
      <c r="I399" s="42">
        <f>SUM(I400:I414)</f>
        <v>47298.60400000001</v>
      </c>
      <c r="J399" s="42">
        <f>J400+J401+J402+J403+J404+J405+J406+J407+J412+J413+J414</f>
        <v>53518.11</v>
      </c>
      <c r="K399" s="42">
        <v>53518</v>
      </c>
      <c r="L399" s="42">
        <v>59630</v>
      </c>
      <c r="M399" s="42">
        <v>58265</v>
      </c>
      <c r="N399" s="42">
        <f>SUM(N400:N407,N412:N414)</f>
        <v>59657.424</v>
      </c>
      <c r="O399" s="42"/>
      <c r="P399" s="42"/>
      <c r="Q399" s="42">
        <f>SUM(Q400:Q414)+1300+3800</f>
        <v>65329.394</v>
      </c>
      <c r="R399" s="35">
        <f t="shared" si="95"/>
        <v>109.5075677421137</v>
      </c>
      <c r="S399" s="42"/>
      <c r="T399" s="42">
        <f>SUM(T400:T414)+3000</f>
        <v>63918.43119999999</v>
      </c>
      <c r="U399" s="42">
        <f>SUM(U400:U414)</f>
        <v>61672.991775999995</v>
      </c>
      <c r="V399" s="46" t="s">
        <v>187</v>
      </c>
      <c r="W399" s="37">
        <f t="shared" si="92"/>
        <v>113.14944940024021</v>
      </c>
      <c r="X399" s="37">
        <f t="shared" si="93"/>
        <v>111.4714701247858</v>
      </c>
    </row>
    <row r="400" spans="1:24" ht="12.75">
      <c r="A400" s="39"/>
      <c r="B400" s="40"/>
      <c r="C400" s="39"/>
      <c r="D400" s="41"/>
      <c r="E400" s="39"/>
      <c r="F400" s="39">
        <v>111</v>
      </c>
      <c r="G400" s="39" t="s">
        <v>33</v>
      </c>
      <c r="H400" s="42">
        <v>25924</v>
      </c>
      <c r="I400" s="42">
        <v>28036</v>
      </c>
      <c r="J400" s="42">
        <v>32758</v>
      </c>
      <c r="K400" s="42"/>
      <c r="L400" s="42"/>
      <c r="M400" s="42"/>
      <c r="N400" s="42">
        <v>37176</v>
      </c>
      <c r="O400" s="42">
        <v>37176</v>
      </c>
      <c r="P400" s="42"/>
      <c r="Q400" s="42">
        <v>37176</v>
      </c>
      <c r="R400" s="35">
        <f t="shared" si="95"/>
        <v>100</v>
      </c>
      <c r="S400" s="42"/>
      <c r="T400" s="42">
        <v>37176</v>
      </c>
      <c r="U400" s="42">
        <v>37176</v>
      </c>
      <c r="V400" s="46"/>
      <c r="W400" s="37">
        <f t="shared" si="92"/>
        <v>116.84263090312454</v>
      </c>
      <c r="X400" s="37">
        <f t="shared" si="93"/>
        <v>113.48678185481408</v>
      </c>
    </row>
    <row r="401" spans="1:24" ht="12.75">
      <c r="A401" s="39"/>
      <c r="B401" s="40"/>
      <c r="C401" s="39"/>
      <c r="D401" s="41"/>
      <c r="E401" s="39"/>
      <c r="F401" s="39">
        <v>113</v>
      </c>
      <c r="G401" s="39" t="s">
        <v>35</v>
      </c>
      <c r="H401" s="42">
        <v>4321</v>
      </c>
      <c r="I401" s="42">
        <v>5192</v>
      </c>
      <c r="J401" s="42">
        <v>6629</v>
      </c>
      <c r="K401" s="42"/>
      <c r="L401" s="42"/>
      <c r="M401" s="42"/>
      <c r="N401" s="42">
        <v>6196</v>
      </c>
      <c r="O401" s="42">
        <v>6196</v>
      </c>
      <c r="P401" s="42"/>
      <c r="Q401" s="42">
        <v>6196</v>
      </c>
      <c r="R401" s="35">
        <f t="shared" si="95"/>
        <v>100</v>
      </c>
      <c r="S401" s="42"/>
      <c r="T401" s="42">
        <v>6196</v>
      </c>
      <c r="U401" s="42">
        <v>6196</v>
      </c>
      <c r="V401" s="46"/>
      <c r="W401" s="37">
        <f t="shared" si="92"/>
        <v>127.67719568567027</v>
      </c>
      <c r="X401" s="37">
        <f t="shared" si="93"/>
        <v>93.46809473525418</v>
      </c>
    </row>
    <row r="402" spans="1:24" ht="12.75">
      <c r="A402" s="39"/>
      <c r="B402" s="40"/>
      <c r="C402" s="39"/>
      <c r="D402" s="41"/>
      <c r="E402" s="39"/>
      <c r="F402" s="39">
        <v>121</v>
      </c>
      <c r="G402" s="39" t="s">
        <v>36</v>
      </c>
      <c r="H402" s="42">
        <v>1634</v>
      </c>
      <c r="I402" s="42">
        <f>(I400-(I400*0.1))*0.06</f>
        <v>1513.944</v>
      </c>
      <c r="J402" s="42">
        <v>1769</v>
      </c>
      <c r="K402" s="42"/>
      <c r="L402" s="42"/>
      <c r="M402" s="42"/>
      <c r="N402" s="42">
        <f>(N400-(N400*0.1))*0.06</f>
        <v>2007.504</v>
      </c>
      <c r="O402" s="42"/>
      <c r="P402" s="42"/>
      <c r="Q402" s="42">
        <f>(Q400-(Q400*0.1))*0.06</f>
        <v>2007.504</v>
      </c>
      <c r="R402" s="35">
        <f t="shared" si="95"/>
        <v>100</v>
      </c>
      <c r="S402" s="42"/>
      <c r="T402" s="42">
        <f>(T400-(T400*0.1))*0.06</f>
        <v>2007.504</v>
      </c>
      <c r="U402" s="42">
        <f>(U400-(U400*0.1))*0.06</f>
        <v>2007.504</v>
      </c>
      <c r="V402" s="46"/>
      <c r="W402" s="37">
        <f t="shared" si="92"/>
        <v>116.84712248273384</v>
      </c>
      <c r="X402" s="37">
        <f t="shared" si="93"/>
        <v>113.48241944601469</v>
      </c>
    </row>
    <row r="403" spans="1:24" ht="25.5">
      <c r="A403" s="39"/>
      <c r="B403" s="40"/>
      <c r="C403" s="39"/>
      <c r="D403" s="41"/>
      <c r="E403" s="39"/>
      <c r="F403" s="39">
        <v>122</v>
      </c>
      <c r="G403" s="39" t="s">
        <v>37</v>
      </c>
      <c r="H403" s="42">
        <v>934</v>
      </c>
      <c r="I403" s="42">
        <f>(I400-(I400*0.1))*0.05</f>
        <v>1261.6200000000001</v>
      </c>
      <c r="J403" s="42">
        <f>(J400-(J400*0.1))*0.05</f>
        <v>1474.1100000000001</v>
      </c>
      <c r="K403" s="42"/>
      <c r="L403" s="42"/>
      <c r="M403" s="42"/>
      <c r="N403" s="42">
        <f>(N400-(N400*0.1))*0.05</f>
        <v>1672.92</v>
      </c>
      <c r="O403" s="42"/>
      <c r="P403" s="42"/>
      <c r="Q403" s="42">
        <f>(Q400-(Q400*0.1))*0.05</f>
        <v>1672.92</v>
      </c>
      <c r="R403" s="35">
        <f t="shared" si="95"/>
        <v>100</v>
      </c>
      <c r="S403" s="42"/>
      <c r="T403" s="42">
        <f>(T400-(T400*0.1))*0.05</f>
        <v>1672.92</v>
      </c>
      <c r="U403" s="42">
        <f>(U400-(U400*0.1))*0.05</f>
        <v>1672.92</v>
      </c>
      <c r="V403" s="46"/>
      <c r="W403" s="37">
        <f t="shared" si="92"/>
        <v>116.84263090312454</v>
      </c>
      <c r="X403" s="37">
        <f t="shared" si="93"/>
        <v>113.48678185481408</v>
      </c>
    </row>
    <row r="404" spans="1:24" ht="38.25">
      <c r="A404" s="39"/>
      <c r="B404" s="40"/>
      <c r="C404" s="39"/>
      <c r="D404" s="41"/>
      <c r="E404" s="39"/>
      <c r="F404" s="39">
        <v>125</v>
      </c>
      <c r="G404" s="39" t="s">
        <v>38</v>
      </c>
      <c r="H404" s="42">
        <v>8</v>
      </c>
      <c r="I404" s="42">
        <f>H404+(H404*0.08)</f>
        <v>8.64</v>
      </c>
      <c r="J404" s="42">
        <v>0</v>
      </c>
      <c r="K404" s="42"/>
      <c r="L404" s="42"/>
      <c r="M404" s="42"/>
      <c r="N404" s="42">
        <v>9</v>
      </c>
      <c r="O404" s="42"/>
      <c r="P404" s="42"/>
      <c r="Q404" s="42">
        <f>N404+(N404*0.07)</f>
        <v>9.63</v>
      </c>
      <c r="R404" s="35">
        <f t="shared" si="95"/>
        <v>107</v>
      </c>
      <c r="S404" s="42"/>
      <c r="T404" s="47"/>
      <c r="U404" s="35"/>
      <c r="V404" s="46"/>
      <c r="W404" s="37">
        <f t="shared" si="92"/>
        <v>0</v>
      </c>
      <c r="X404" s="37" t="e">
        <f t="shared" si="93"/>
        <v>#DIV/0!</v>
      </c>
    </row>
    <row r="405" spans="1:24" ht="25.5">
      <c r="A405" s="39"/>
      <c r="B405" s="40"/>
      <c r="C405" s="39"/>
      <c r="D405" s="41"/>
      <c r="E405" s="39"/>
      <c r="F405" s="39">
        <v>133</v>
      </c>
      <c r="G405" s="39" t="s">
        <v>188</v>
      </c>
      <c r="H405" s="42"/>
      <c r="I405" s="42"/>
      <c r="J405" s="42">
        <f>I405+(I405*0.07)</f>
        <v>0</v>
      </c>
      <c r="K405" s="42"/>
      <c r="L405" s="42"/>
      <c r="M405" s="42"/>
      <c r="N405" s="42"/>
      <c r="O405" s="42"/>
      <c r="P405" s="42"/>
      <c r="Q405" s="42">
        <f>N405+(N405*0.07)</f>
        <v>0</v>
      </c>
      <c r="R405" s="35" t="e">
        <f t="shared" si="95"/>
        <v>#DIV/0!</v>
      </c>
      <c r="S405" s="42"/>
      <c r="T405" s="47"/>
      <c r="U405" s="35"/>
      <c r="V405" s="46"/>
      <c r="W405" s="37" t="e">
        <f t="shared" si="92"/>
        <v>#DIV/0!</v>
      </c>
      <c r="X405" s="37" t="e">
        <f t="shared" si="93"/>
        <v>#DIV/0!</v>
      </c>
    </row>
    <row r="406" spans="1:24" ht="12.75">
      <c r="A406" s="39"/>
      <c r="B406" s="40"/>
      <c r="C406" s="39"/>
      <c r="D406" s="41"/>
      <c r="E406" s="39"/>
      <c r="F406" s="39">
        <v>139</v>
      </c>
      <c r="G406" s="39" t="s">
        <v>39</v>
      </c>
      <c r="H406" s="42">
        <v>2637</v>
      </c>
      <c r="I406" s="42">
        <v>2680</v>
      </c>
      <c r="J406" s="42">
        <v>1191</v>
      </c>
      <c r="K406" s="42"/>
      <c r="L406" s="42"/>
      <c r="M406" s="42"/>
      <c r="N406" s="42">
        <v>1264</v>
      </c>
      <c r="O406" s="42"/>
      <c r="P406" s="42"/>
      <c r="Q406" s="42">
        <f>N406+(N406*0.07)</f>
        <v>1352.48</v>
      </c>
      <c r="R406" s="35">
        <f t="shared" si="95"/>
        <v>107</v>
      </c>
      <c r="S406" s="42"/>
      <c r="T406" s="47">
        <f>Q406*1.08</f>
        <v>1460.6784</v>
      </c>
      <c r="U406" s="47">
        <f>T406*1.08</f>
        <v>1577.532672</v>
      </c>
      <c r="V406" s="46"/>
      <c r="W406" s="37">
        <f t="shared" si="92"/>
        <v>44.440298507462686</v>
      </c>
      <c r="X406" s="37">
        <f t="shared" si="93"/>
        <v>106.12930310663309</v>
      </c>
    </row>
    <row r="407" spans="1:24" ht="12.75">
      <c r="A407" s="39"/>
      <c r="B407" s="40"/>
      <c r="C407" s="39"/>
      <c r="D407" s="41"/>
      <c r="E407" s="39"/>
      <c r="F407" s="39">
        <v>141</v>
      </c>
      <c r="G407" s="39" t="s">
        <v>60</v>
      </c>
      <c r="H407" s="42">
        <v>813</v>
      </c>
      <c r="I407" s="42">
        <v>1002</v>
      </c>
      <c r="J407" s="42">
        <f>J409+J410+J411</f>
        <v>1076</v>
      </c>
      <c r="K407" s="42"/>
      <c r="L407" s="42"/>
      <c r="M407" s="42"/>
      <c r="N407" s="42">
        <f>SUM(N409:N411)</f>
        <v>1149</v>
      </c>
      <c r="O407" s="42"/>
      <c r="P407" s="42"/>
      <c r="Q407" s="42">
        <f>N407+(N407*0.07)</f>
        <v>1229.43</v>
      </c>
      <c r="R407" s="35">
        <f t="shared" si="95"/>
        <v>107</v>
      </c>
      <c r="S407" s="42"/>
      <c r="T407" s="47">
        <f>Q407*1.08</f>
        <v>1327.7844000000002</v>
      </c>
      <c r="U407" s="47">
        <f>T407*1.08</f>
        <v>1434.0071520000004</v>
      </c>
      <c r="V407" s="46"/>
      <c r="W407" s="37">
        <f t="shared" si="92"/>
        <v>107.38522954091816</v>
      </c>
      <c r="X407" s="37">
        <f t="shared" si="93"/>
        <v>106.78438661710037</v>
      </c>
    </row>
    <row r="408" spans="1:24" ht="12.75">
      <c r="A408" s="39"/>
      <c r="B408" s="40"/>
      <c r="C408" s="39"/>
      <c r="D408" s="41"/>
      <c r="E408" s="39"/>
      <c r="F408" s="39"/>
      <c r="G408" s="53" t="s">
        <v>58</v>
      </c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35" t="e">
        <f t="shared" si="95"/>
        <v>#DIV/0!</v>
      </c>
      <c r="S408" s="42"/>
      <c r="T408" s="47"/>
      <c r="U408" s="47"/>
      <c r="V408" s="46"/>
      <c r="W408" s="37"/>
      <c r="X408" s="37"/>
    </row>
    <row r="409" spans="1:24" ht="12.75">
      <c r="A409" s="39"/>
      <c r="B409" s="40"/>
      <c r="C409" s="39"/>
      <c r="D409" s="41"/>
      <c r="E409" s="39"/>
      <c r="F409" s="39"/>
      <c r="G409" s="53" t="s">
        <v>64</v>
      </c>
      <c r="H409" s="42"/>
      <c r="I409" s="42"/>
      <c r="J409" s="42">
        <v>108</v>
      </c>
      <c r="K409" s="42"/>
      <c r="L409" s="42"/>
      <c r="M409" s="42"/>
      <c r="N409" s="42">
        <v>150</v>
      </c>
      <c r="O409" s="42"/>
      <c r="P409" s="42"/>
      <c r="Q409" s="42"/>
      <c r="R409" s="35">
        <f t="shared" si="95"/>
        <v>0</v>
      </c>
      <c r="S409" s="42"/>
      <c r="T409" s="47"/>
      <c r="U409" s="47"/>
      <c r="V409" s="46"/>
      <c r="W409" s="37"/>
      <c r="X409" s="37"/>
    </row>
    <row r="410" spans="1:24" ht="12.75">
      <c r="A410" s="39"/>
      <c r="B410" s="40"/>
      <c r="C410" s="39"/>
      <c r="D410" s="41"/>
      <c r="E410" s="39"/>
      <c r="F410" s="39"/>
      <c r="G410" s="53" t="s">
        <v>65</v>
      </c>
      <c r="H410" s="42"/>
      <c r="I410" s="42"/>
      <c r="J410" s="42">
        <v>324</v>
      </c>
      <c r="K410" s="42"/>
      <c r="L410" s="42"/>
      <c r="M410" s="42"/>
      <c r="N410" s="42">
        <v>347</v>
      </c>
      <c r="O410" s="42"/>
      <c r="P410" s="42"/>
      <c r="Q410" s="42"/>
      <c r="R410" s="35">
        <f t="shared" si="95"/>
        <v>0</v>
      </c>
      <c r="S410" s="42"/>
      <c r="T410" s="47"/>
      <c r="U410" s="47"/>
      <c r="V410" s="46"/>
      <c r="W410" s="37"/>
      <c r="X410" s="37"/>
    </row>
    <row r="411" spans="1:24" ht="12.75">
      <c r="A411" s="39"/>
      <c r="B411" s="40"/>
      <c r="C411" s="39"/>
      <c r="D411" s="41"/>
      <c r="E411" s="39"/>
      <c r="F411" s="39"/>
      <c r="G411" s="53" t="s">
        <v>66</v>
      </c>
      <c r="H411" s="42"/>
      <c r="I411" s="42"/>
      <c r="J411" s="42">
        <v>644</v>
      </c>
      <c r="K411" s="42"/>
      <c r="L411" s="42"/>
      <c r="M411" s="42"/>
      <c r="N411" s="42">
        <v>652</v>
      </c>
      <c r="O411" s="42"/>
      <c r="P411" s="42"/>
      <c r="Q411" s="42"/>
      <c r="R411" s="35">
        <f t="shared" si="95"/>
        <v>0</v>
      </c>
      <c r="S411" s="42"/>
      <c r="T411" s="47"/>
      <c r="U411" s="47"/>
      <c r="V411" s="46"/>
      <c r="W411" s="37"/>
      <c r="X411" s="37"/>
    </row>
    <row r="412" spans="1:24" ht="12.75">
      <c r="A412" s="39"/>
      <c r="B412" s="40"/>
      <c r="C412" s="39"/>
      <c r="D412" s="41"/>
      <c r="E412" s="39"/>
      <c r="F412" s="39">
        <v>142</v>
      </c>
      <c r="G412" s="39" t="s">
        <v>40</v>
      </c>
      <c r="H412" s="42">
        <v>1663</v>
      </c>
      <c r="I412" s="42">
        <v>1980</v>
      </c>
      <c r="J412" s="42">
        <v>1992</v>
      </c>
      <c r="K412" s="42"/>
      <c r="L412" s="42"/>
      <c r="M412" s="42"/>
      <c r="N412" s="42">
        <v>2824</v>
      </c>
      <c r="O412" s="42"/>
      <c r="P412" s="42"/>
      <c r="Q412" s="42">
        <f>N412+(N412*0.07)</f>
        <v>3021.68</v>
      </c>
      <c r="R412" s="35">
        <f t="shared" si="95"/>
        <v>106.99999999999999</v>
      </c>
      <c r="S412" s="42"/>
      <c r="T412" s="47">
        <f>Q412*1.08</f>
        <v>3263.4144</v>
      </c>
      <c r="U412" s="47">
        <f>T412*1.08</f>
        <v>3524.4875520000005</v>
      </c>
      <c r="V412" s="48"/>
      <c r="W412" s="37">
        <f>J412/I412*100</f>
        <v>100.60606060606061</v>
      </c>
      <c r="X412" s="37">
        <f>N412/J412*100</f>
        <v>141.76706827309238</v>
      </c>
    </row>
    <row r="413" spans="1:24" ht="25.5">
      <c r="A413" s="39"/>
      <c r="B413" s="40"/>
      <c r="C413" s="39"/>
      <c r="D413" s="41"/>
      <c r="E413" s="39"/>
      <c r="F413" s="39">
        <v>149</v>
      </c>
      <c r="G413" s="39" t="s">
        <v>43</v>
      </c>
      <c r="H413" s="42">
        <v>9928</v>
      </c>
      <c r="I413" s="42">
        <v>5619</v>
      </c>
      <c r="J413" s="42">
        <v>6629</v>
      </c>
      <c r="K413" s="42"/>
      <c r="L413" s="42"/>
      <c r="M413" s="42"/>
      <c r="N413" s="42">
        <v>7359</v>
      </c>
      <c r="O413" s="42"/>
      <c r="P413" s="42"/>
      <c r="Q413" s="42">
        <f>(N413-4434)*1.07+4434</f>
        <v>7563.75</v>
      </c>
      <c r="R413" s="35">
        <f t="shared" si="95"/>
        <v>102.78230737871993</v>
      </c>
      <c r="S413" s="42"/>
      <c r="T413" s="42">
        <f>(Q413-4434)*1.08+4434</f>
        <v>7814.13</v>
      </c>
      <c r="U413" s="42">
        <f>(T413-4434)*1.08+4434</f>
        <v>8084.5404</v>
      </c>
      <c r="V413" s="46" t="s">
        <v>189</v>
      </c>
      <c r="W413" s="37">
        <f>J413/I413*100</f>
        <v>117.97472859939491</v>
      </c>
      <c r="X413" s="37">
        <f>N413/J413*100</f>
        <v>111.01221903756222</v>
      </c>
    </row>
    <row r="414" spans="1:24" ht="12.75">
      <c r="A414" s="39"/>
      <c r="B414" s="40"/>
      <c r="C414" s="39"/>
      <c r="D414" s="41"/>
      <c r="E414" s="39"/>
      <c r="F414" s="39">
        <v>159</v>
      </c>
      <c r="G414" s="39" t="s">
        <v>46</v>
      </c>
      <c r="H414" s="42">
        <v>5</v>
      </c>
      <c r="I414" s="42">
        <f>H414+(H414*0.08)</f>
        <v>5.4</v>
      </c>
      <c r="J414" s="42">
        <v>0</v>
      </c>
      <c r="K414" s="42"/>
      <c r="L414" s="42"/>
      <c r="M414" s="42"/>
      <c r="N414" s="42">
        <f>J414+(J414*0.07)</f>
        <v>0</v>
      </c>
      <c r="O414" s="42"/>
      <c r="P414" s="42"/>
      <c r="Q414" s="42">
        <f>N414+(N414*0.07)</f>
        <v>0</v>
      </c>
      <c r="R414" s="35" t="e">
        <f t="shared" si="95"/>
        <v>#DIV/0!</v>
      </c>
      <c r="S414" s="42"/>
      <c r="T414" s="47">
        <f>Q414*1.06</f>
        <v>0</v>
      </c>
      <c r="U414" s="35"/>
      <c r="V414" s="46"/>
      <c r="W414" s="37">
        <f>J414/I414*100</f>
        <v>0</v>
      </c>
      <c r="X414" s="37" t="e">
        <f>N414/J414*100</f>
        <v>#DIV/0!</v>
      </c>
    </row>
    <row r="415" spans="1:24" ht="25.5">
      <c r="A415" s="39"/>
      <c r="B415" s="40"/>
      <c r="C415" s="39"/>
      <c r="D415" s="41"/>
      <c r="E415" s="39" t="s">
        <v>190</v>
      </c>
      <c r="F415" s="39"/>
      <c r="G415" s="39" t="s">
        <v>191</v>
      </c>
      <c r="H415" s="42">
        <f>H416</f>
        <v>50</v>
      </c>
      <c r="I415" s="42">
        <f>I416</f>
        <v>0</v>
      </c>
      <c r="J415" s="42">
        <f>J416</f>
        <v>0</v>
      </c>
      <c r="K415" s="42"/>
      <c r="L415" s="42"/>
      <c r="M415" s="42"/>
      <c r="N415" s="42">
        <f>N416</f>
        <v>0</v>
      </c>
      <c r="O415" s="42"/>
      <c r="P415" s="42"/>
      <c r="Q415" s="42"/>
      <c r="R415" s="35" t="e">
        <f t="shared" si="95"/>
        <v>#DIV/0!</v>
      </c>
      <c r="S415" s="42"/>
      <c r="T415" s="47"/>
      <c r="U415" s="35"/>
      <c r="V415" s="46"/>
      <c r="W415" s="37" t="e">
        <f>J415/I415*100</f>
        <v>#DIV/0!</v>
      </c>
      <c r="X415" s="37" t="e">
        <f>N415/J415*100</f>
        <v>#DIV/0!</v>
      </c>
    </row>
    <row r="416" spans="1:24" ht="12.75">
      <c r="A416" s="39"/>
      <c r="B416" s="40"/>
      <c r="C416" s="39"/>
      <c r="D416" s="41"/>
      <c r="E416" s="39"/>
      <c r="F416" s="39">
        <v>149</v>
      </c>
      <c r="G416" s="39" t="s">
        <v>43</v>
      </c>
      <c r="H416" s="42">
        <v>50</v>
      </c>
      <c r="I416" s="42"/>
      <c r="J416" s="42"/>
      <c r="K416" s="42"/>
      <c r="L416" s="42"/>
      <c r="M416" s="42"/>
      <c r="N416" s="42"/>
      <c r="O416" s="42"/>
      <c r="P416" s="42"/>
      <c r="Q416" s="42"/>
      <c r="R416" s="35" t="e">
        <f t="shared" si="95"/>
        <v>#DIV/0!</v>
      </c>
      <c r="S416" s="42"/>
      <c r="T416" s="47"/>
      <c r="U416" s="35"/>
      <c r="V416" s="46"/>
      <c r="W416" s="37" t="e">
        <f>J416/I416*100</f>
        <v>#DIV/0!</v>
      </c>
      <c r="X416" s="37" t="e">
        <f>N416/J416*100</f>
        <v>#DIV/0!</v>
      </c>
    </row>
    <row r="417" spans="1:24" ht="25.5">
      <c r="A417" s="39"/>
      <c r="B417" s="40"/>
      <c r="C417" s="39"/>
      <c r="D417" s="41"/>
      <c r="E417" s="39" t="s">
        <v>192</v>
      </c>
      <c r="F417" s="39"/>
      <c r="G417" s="39" t="s">
        <v>113</v>
      </c>
      <c r="H417" s="42">
        <f>H418+H419</f>
        <v>0</v>
      </c>
      <c r="I417" s="42">
        <f>I418+I419</f>
        <v>0</v>
      </c>
      <c r="J417" s="42">
        <f>J418+J419</f>
        <v>0</v>
      </c>
      <c r="K417" s="42"/>
      <c r="L417" s="42"/>
      <c r="M417" s="42"/>
      <c r="N417" s="42">
        <f>N418+N419</f>
        <v>0</v>
      </c>
      <c r="O417" s="42"/>
      <c r="P417" s="42"/>
      <c r="Q417" s="42"/>
      <c r="R417" s="35" t="e">
        <f t="shared" si="95"/>
        <v>#DIV/0!</v>
      </c>
      <c r="S417" s="42"/>
      <c r="T417" s="47"/>
      <c r="U417" s="35"/>
      <c r="V417" s="46"/>
      <c r="W417" s="37"/>
      <c r="X417" s="37"/>
    </row>
    <row r="418" spans="1:24" ht="12.75">
      <c r="A418" s="39"/>
      <c r="B418" s="40"/>
      <c r="C418" s="39"/>
      <c r="D418" s="41"/>
      <c r="E418" s="39"/>
      <c r="F418" s="39">
        <v>421</v>
      </c>
      <c r="G418" s="39" t="s">
        <v>152</v>
      </c>
      <c r="H418" s="42">
        <f>3800-3800</f>
        <v>0</v>
      </c>
      <c r="I418" s="42">
        <f>3800-3800</f>
        <v>0</v>
      </c>
      <c r="J418" s="42">
        <f>3800-3800</f>
        <v>0</v>
      </c>
      <c r="K418" s="42"/>
      <c r="L418" s="42"/>
      <c r="M418" s="42"/>
      <c r="N418" s="42">
        <f>3800-3800</f>
        <v>0</v>
      </c>
      <c r="O418" s="42"/>
      <c r="P418" s="42"/>
      <c r="Q418" s="42"/>
      <c r="R418" s="35" t="e">
        <f t="shared" si="95"/>
        <v>#DIV/0!</v>
      </c>
      <c r="S418" s="42"/>
      <c r="T418" s="47"/>
      <c r="U418" s="35"/>
      <c r="V418" s="46"/>
      <c r="W418" s="37"/>
      <c r="X418" s="37"/>
    </row>
    <row r="419" spans="1:24" ht="25.5">
      <c r="A419" s="39"/>
      <c r="B419" s="40"/>
      <c r="C419" s="39"/>
      <c r="D419" s="41"/>
      <c r="E419" s="39"/>
      <c r="F419" s="39">
        <v>431</v>
      </c>
      <c r="G419" s="39" t="s">
        <v>113</v>
      </c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35" t="e">
        <f t="shared" si="95"/>
        <v>#DIV/0!</v>
      </c>
      <c r="S419" s="42"/>
      <c r="T419" s="47"/>
      <c r="U419" s="35"/>
      <c r="V419" s="46"/>
      <c r="W419" s="37"/>
      <c r="X419" s="37"/>
    </row>
    <row r="420" spans="1:24" ht="25.5">
      <c r="A420" s="39"/>
      <c r="B420" s="40"/>
      <c r="C420" s="39"/>
      <c r="D420" s="41"/>
      <c r="E420" s="39" t="s">
        <v>193</v>
      </c>
      <c r="F420" s="39"/>
      <c r="G420" s="39" t="s">
        <v>194</v>
      </c>
      <c r="H420" s="42">
        <f>H421</f>
        <v>0</v>
      </c>
      <c r="I420" s="42">
        <f>I421</f>
        <v>0</v>
      </c>
      <c r="J420" s="42">
        <f>J421</f>
        <v>0</v>
      </c>
      <c r="K420" s="42"/>
      <c r="L420" s="42"/>
      <c r="M420" s="42"/>
      <c r="N420" s="42">
        <f>N421</f>
        <v>0</v>
      </c>
      <c r="O420" s="42"/>
      <c r="P420" s="42"/>
      <c r="Q420" s="42"/>
      <c r="R420" s="35" t="e">
        <f t="shared" si="95"/>
        <v>#DIV/0!</v>
      </c>
      <c r="S420" s="42"/>
      <c r="T420" s="47"/>
      <c r="U420" s="35"/>
      <c r="V420" s="46"/>
      <c r="W420" s="37"/>
      <c r="X420" s="37"/>
    </row>
    <row r="421" spans="1:24" ht="25.5">
      <c r="A421" s="39"/>
      <c r="B421" s="40"/>
      <c r="C421" s="39"/>
      <c r="D421" s="41"/>
      <c r="E421" s="39"/>
      <c r="F421" s="39">
        <v>411</v>
      </c>
      <c r="G421" s="39" t="s">
        <v>49</v>
      </c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35" t="e">
        <f t="shared" si="95"/>
        <v>#DIV/0!</v>
      </c>
      <c r="S421" s="42"/>
      <c r="T421" s="47"/>
      <c r="U421" s="35"/>
      <c r="V421" s="46"/>
      <c r="W421" s="37"/>
      <c r="X421" s="37"/>
    </row>
    <row r="422" spans="1:24" ht="25.5">
      <c r="A422" s="39"/>
      <c r="B422" s="40"/>
      <c r="C422" s="39"/>
      <c r="D422" s="41">
        <v>11</v>
      </c>
      <c r="E422" s="39">
        <v>0</v>
      </c>
      <c r="F422" s="39"/>
      <c r="G422" s="45" t="s">
        <v>195</v>
      </c>
      <c r="H422" s="42">
        <f>H423</f>
        <v>1665</v>
      </c>
      <c r="I422" s="42">
        <f>I423</f>
        <v>1798.2</v>
      </c>
      <c r="J422" s="42">
        <f>J423</f>
        <v>1924.074</v>
      </c>
      <c r="K422" s="42">
        <f>1924-1000</f>
        <v>924</v>
      </c>
      <c r="L422" s="42">
        <v>2059</v>
      </c>
      <c r="M422" s="42">
        <v>2059</v>
      </c>
      <c r="N422" s="42">
        <v>990</v>
      </c>
      <c r="O422" s="42"/>
      <c r="P422" s="42">
        <v>924</v>
      </c>
      <c r="Q422" s="42">
        <f>Q423</f>
        <v>1450</v>
      </c>
      <c r="R422" s="35">
        <f t="shared" si="95"/>
        <v>146.46464646464648</v>
      </c>
      <c r="S422" s="42"/>
      <c r="T422" s="42">
        <f>T423</f>
        <v>1566</v>
      </c>
      <c r="U422" s="42">
        <f>U423</f>
        <v>1691.2800000000002</v>
      </c>
      <c r="V422" s="46"/>
      <c r="W422" s="37">
        <f>J422/I422*100</f>
        <v>107</v>
      </c>
      <c r="X422" s="37">
        <f>N422/J422*100</f>
        <v>51.45332248135986</v>
      </c>
    </row>
    <row r="423" spans="1:24" ht="12.75">
      <c r="A423" s="39"/>
      <c r="B423" s="40"/>
      <c r="C423" s="39"/>
      <c r="D423" s="41"/>
      <c r="E423" s="39"/>
      <c r="F423" s="39">
        <v>149</v>
      </c>
      <c r="G423" s="39" t="s">
        <v>43</v>
      </c>
      <c r="H423" s="42">
        <v>1665</v>
      </c>
      <c r="I423" s="42">
        <f>H423+(H423*0.08)</f>
        <v>1798.2</v>
      </c>
      <c r="J423" s="42">
        <f>I423+(I423*0.07)</f>
        <v>1924.074</v>
      </c>
      <c r="K423" s="42"/>
      <c r="L423" s="42"/>
      <c r="M423" s="42"/>
      <c r="N423" s="42">
        <v>990</v>
      </c>
      <c r="O423" s="42"/>
      <c r="P423" s="42"/>
      <c r="Q423" s="42">
        <v>1450</v>
      </c>
      <c r="R423" s="35">
        <f t="shared" si="95"/>
        <v>146.46464646464648</v>
      </c>
      <c r="S423" s="42"/>
      <c r="T423" s="47">
        <f>Q423*1.08</f>
        <v>1566</v>
      </c>
      <c r="U423" s="47">
        <f>T423*1.08</f>
        <v>1691.2800000000002</v>
      </c>
      <c r="V423" s="46"/>
      <c r="W423" s="37">
        <f>J423/I423*100</f>
        <v>107</v>
      </c>
      <c r="X423" s="37">
        <f>N423/J423*100</f>
        <v>51.45332248135986</v>
      </c>
    </row>
    <row r="424" spans="1:24" ht="12.75">
      <c r="A424" s="39">
        <v>7</v>
      </c>
      <c r="B424" s="40"/>
      <c r="C424" s="39"/>
      <c r="D424" s="41"/>
      <c r="E424" s="39"/>
      <c r="F424" s="39"/>
      <c r="G424" s="34" t="s">
        <v>196</v>
      </c>
      <c r="H424" s="42">
        <f aca="true" t="shared" si="97" ref="H424:U424">H425+H477+H505</f>
        <v>1429617</v>
      </c>
      <c r="I424" s="42">
        <f t="shared" si="97"/>
        <v>1130991.8800000001</v>
      </c>
      <c r="J424" s="42">
        <f t="shared" si="97"/>
        <v>1520775.7464</v>
      </c>
      <c r="K424" s="42"/>
      <c r="L424" s="42"/>
      <c r="M424" s="42"/>
      <c r="N424" s="42">
        <f t="shared" si="97"/>
        <v>1346078.158648</v>
      </c>
      <c r="O424" s="42"/>
      <c r="P424" s="42"/>
      <c r="Q424" s="42">
        <f t="shared" si="97"/>
        <v>6844953.928</v>
      </c>
      <c r="R424" s="35">
        <f t="shared" si="95"/>
        <v>508.51088282088074</v>
      </c>
      <c r="S424" s="42"/>
      <c r="T424" s="42">
        <f t="shared" si="97"/>
        <v>1680365.2010400002</v>
      </c>
      <c r="U424" s="42">
        <f t="shared" si="97"/>
        <v>2126453.6971232</v>
      </c>
      <c r="V424" s="61"/>
      <c r="W424" s="37">
        <f>J424/I424*100</f>
        <v>134.4638960979985</v>
      </c>
      <c r="X424" s="37">
        <f>N424/J424*100</f>
        <v>88.51260035113353</v>
      </c>
    </row>
    <row r="425" spans="1:24" ht="25.5">
      <c r="A425" s="39"/>
      <c r="B425" s="40" t="s">
        <v>28</v>
      </c>
      <c r="C425" s="39"/>
      <c r="D425" s="41"/>
      <c r="E425" s="39"/>
      <c r="F425" s="39"/>
      <c r="G425" s="39" t="s">
        <v>197</v>
      </c>
      <c r="H425" s="42">
        <f>H426+H436+H462</f>
        <v>84217</v>
      </c>
      <c r="I425" s="42">
        <f>I426+I436</f>
        <v>6704.36</v>
      </c>
      <c r="J425" s="42">
        <f>J426+J436</f>
        <v>7954</v>
      </c>
      <c r="K425" s="42"/>
      <c r="L425" s="42"/>
      <c r="M425" s="42"/>
      <c r="N425" s="42">
        <f>N426+N436</f>
        <v>4873</v>
      </c>
      <c r="O425" s="42"/>
      <c r="P425" s="42"/>
      <c r="Q425" s="42">
        <f>Q426+Q436</f>
        <v>3874478</v>
      </c>
      <c r="R425" s="35">
        <f t="shared" si="95"/>
        <v>79509.09090909091</v>
      </c>
      <c r="S425" s="42"/>
      <c r="T425" s="42">
        <f>T426+T436</f>
        <v>5631.238800000001</v>
      </c>
      <c r="U425" s="42">
        <f>U426+U436</f>
        <v>6081.737904000001</v>
      </c>
      <c r="V425" s="61"/>
      <c r="W425" s="37">
        <f>J425/I425*100</f>
        <v>118.63921388469593</v>
      </c>
      <c r="X425" s="37">
        <f>N425/J425*100</f>
        <v>61.26477244153885</v>
      </c>
    </row>
    <row r="426" spans="1:24" ht="38.25">
      <c r="A426" s="39"/>
      <c r="B426" s="40"/>
      <c r="C426" s="39">
        <v>458</v>
      </c>
      <c r="D426" s="41"/>
      <c r="E426" s="39"/>
      <c r="F426" s="39"/>
      <c r="G426" s="39" t="s">
        <v>97</v>
      </c>
      <c r="H426" s="42">
        <f>H427+H429+H433</f>
        <v>4217</v>
      </c>
      <c r="I426" s="42">
        <f>I429</f>
        <v>4554.36</v>
      </c>
      <c r="J426" s="42">
        <f>J429</f>
        <v>4554</v>
      </c>
      <c r="K426" s="42"/>
      <c r="L426" s="42"/>
      <c r="M426" s="42"/>
      <c r="N426" s="42">
        <f>N429</f>
        <v>4873</v>
      </c>
      <c r="O426" s="42"/>
      <c r="P426" s="42"/>
      <c r="Q426" s="42">
        <f>Q429</f>
        <v>5214</v>
      </c>
      <c r="R426" s="35">
        <f t="shared" si="95"/>
        <v>106.9977426636569</v>
      </c>
      <c r="S426" s="42"/>
      <c r="T426" s="42">
        <f>T429</f>
        <v>5631.238800000001</v>
      </c>
      <c r="U426" s="42">
        <f>U429</f>
        <v>6081.737904000001</v>
      </c>
      <c r="V426" s="61"/>
      <c r="W426" s="37">
        <f>J426/I426*100</f>
        <v>99.99209548652281</v>
      </c>
      <c r="X426" s="37">
        <f>N426/J426*100</f>
        <v>107.0048309178744</v>
      </c>
    </row>
    <row r="427" spans="1:24" ht="51">
      <c r="A427" s="39"/>
      <c r="B427" s="40"/>
      <c r="C427" s="39"/>
      <c r="D427" s="41">
        <v>2</v>
      </c>
      <c r="E427" s="39" t="s">
        <v>67</v>
      </c>
      <c r="F427" s="39"/>
      <c r="G427" s="45" t="s">
        <v>198</v>
      </c>
      <c r="H427" s="42">
        <f>H428</f>
        <v>0</v>
      </c>
      <c r="I427" s="42">
        <f>I428</f>
        <v>0</v>
      </c>
      <c r="J427" s="42">
        <f>J428</f>
        <v>0</v>
      </c>
      <c r="K427" s="42"/>
      <c r="L427" s="42"/>
      <c r="M427" s="42"/>
      <c r="N427" s="42">
        <f>N428</f>
        <v>0</v>
      </c>
      <c r="O427" s="42"/>
      <c r="P427" s="42"/>
      <c r="Q427" s="42"/>
      <c r="R427" s="35" t="e">
        <f t="shared" si="95"/>
        <v>#DIV/0!</v>
      </c>
      <c r="S427" s="42"/>
      <c r="T427" s="47"/>
      <c r="U427" s="35"/>
      <c r="V427" s="61"/>
      <c r="W427" s="37"/>
      <c r="X427" s="37"/>
    </row>
    <row r="428" spans="1:24" ht="12.75">
      <c r="A428" s="39"/>
      <c r="B428" s="40"/>
      <c r="C428" s="39"/>
      <c r="D428" s="41"/>
      <c r="E428" s="39"/>
      <c r="F428" s="39">
        <v>451</v>
      </c>
      <c r="G428" s="39" t="s">
        <v>199</v>
      </c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35" t="e">
        <f t="shared" si="95"/>
        <v>#DIV/0!</v>
      </c>
      <c r="S428" s="42"/>
      <c r="T428" s="47"/>
      <c r="U428" s="35"/>
      <c r="V428" s="61"/>
      <c r="W428" s="37"/>
      <c r="X428" s="37"/>
    </row>
    <row r="429" spans="1:24" ht="25.5">
      <c r="A429" s="39"/>
      <c r="B429" s="40"/>
      <c r="C429" s="39"/>
      <c r="D429" s="41">
        <v>3</v>
      </c>
      <c r="E429" s="39" t="s">
        <v>67</v>
      </c>
      <c r="F429" s="39"/>
      <c r="G429" s="45" t="s">
        <v>200</v>
      </c>
      <c r="H429" s="42">
        <f>H430+H431+H432</f>
        <v>4217</v>
      </c>
      <c r="I429" s="42">
        <f>I430+I431+I432</f>
        <v>4554.36</v>
      </c>
      <c r="J429" s="42">
        <f>J430+J431+J432</f>
        <v>4554</v>
      </c>
      <c r="K429" s="42"/>
      <c r="L429" s="42"/>
      <c r="M429" s="42"/>
      <c r="N429" s="42">
        <f>N430+N431+N432</f>
        <v>4873</v>
      </c>
      <c r="O429" s="42"/>
      <c r="P429" s="42"/>
      <c r="Q429" s="42">
        <v>5214</v>
      </c>
      <c r="R429" s="35">
        <f t="shared" si="95"/>
        <v>106.9977426636569</v>
      </c>
      <c r="S429" s="42"/>
      <c r="T429" s="42">
        <f>T430+T431+T432</f>
        <v>5631.238800000001</v>
      </c>
      <c r="U429" s="42">
        <f>U430+U431+U432</f>
        <v>6081.737904000001</v>
      </c>
      <c r="V429" s="61"/>
      <c r="W429" s="37">
        <f>J429/I429*100</f>
        <v>99.99209548652281</v>
      </c>
      <c r="X429" s="37">
        <f>N429/J429*100</f>
        <v>107.0048309178744</v>
      </c>
    </row>
    <row r="430" spans="1:24" ht="12.75">
      <c r="A430" s="39"/>
      <c r="B430" s="40"/>
      <c r="C430" s="39"/>
      <c r="D430" s="41"/>
      <c r="E430" s="39"/>
      <c r="F430" s="39">
        <v>141</v>
      </c>
      <c r="G430" s="39" t="s">
        <v>60</v>
      </c>
      <c r="H430" s="42">
        <v>1400</v>
      </c>
      <c r="I430" s="42">
        <f>H430+(H430*0.08)</f>
        <v>1512</v>
      </c>
      <c r="J430" s="42">
        <v>1553</v>
      </c>
      <c r="K430" s="42"/>
      <c r="L430" s="42"/>
      <c r="M430" s="42"/>
      <c r="N430" s="42">
        <v>1553</v>
      </c>
      <c r="O430" s="42"/>
      <c r="P430" s="42"/>
      <c r="Q430" s="42">
        <f>N430+(N430*0.07)</f>
        <v>1661.71</v>
      </c>
      <c r="R430" s="35">
        <f t="shared" si="95"/>
        <v>107</v>
      </c>
      <c r="S430" s="42"/>
      <c r="T430" s="47">
        <f>Q430*1.08</f>
        <v>1794.6468000000002</v>
      </c>
      <c r="U430" s="47">
        <f>T430*1.08</f>
        <v>1938.2185440000003</v>
      </c>
      <c r="V430" s="61"/>
      <c r="W430" s="37">
        <f>J430/I430*100</f>
        <v>102.71164021164022</v>
      </c>
      <c r="X430" s="37">
        <f>N430/J430*100</f>
        <v>100</v>
      </c>
    </row>
    <row r="431" spans="1:24" ht="12.75">
      <c r="A431" s="39"/>
      <c r="B431" s="40"/>
      <c r="C431" s="39"/>
      <c r="D431" s="41"/>
      <c r="E431" s="39"/>
      <c r="F431" s="39">
        <v>149</v>
      </c>
      <c r="G431" s="39" t="s">
        <v>43</v>
      </c>
      <c r="H431" s="42">
        <v>2600</v>
      </c>
      <c r="I431" s="42">
        <f>H431+(H431*0.08)</f>
        <v>2808</v>
      </c>
      <c r="J431" s="42">
        <v>3001</v>
      </c>
      <c r="K431" s="42"/>
      <c r="L431" s="42"/>
      <c r="M431" s="42"/>
      <c r="N431" s="42">
        <v>3320</v>
      </c>
      <c r="O431" s="42"/>
      <c r="P431" s="42"/>
      <c r="Q431" s="42">
        <f>N431+(N431*0.07)</f>
        <v>3552.4</v>
      </c>
      <c r="R431" s="35">
        <f t="shared" si="95"/>
        <v>107</v>
      </c>
      <c r="S431" s="42"/>
      <c r="T431" s="47">
        <f>Q431*1.08</f>
        <v>3836.5920000000006</v>
      </c>
      <c r="U431" s="47">
        <f>T431*1.08</f>
        <v>4143.519360000001</v>
      </c>
      <c r="V431" s="61"/>
      <c r="W431" s="37">
        <f>J431/I431*100</f>
        <v>106.87321937321937</v>
      </c>
      <c r="X431" s="37">
        <f>N431/J431*100</f>
        <v>110.62979006997666</v>
      </c>
    </row>
    <row r="432" spans="1:24" ht="12.75">
      <c r="A432" s="39"/>
      <c r="B432" s="40"/>
      <c r="C432" s="39"/>
      <c r="D432" s="41"/>
      <c r="E432" s="39"/>
      <c r="F432" s="39">
        <v>159</v>
      </c>
      <c r="G432" s="39" t="s">
        <v>46</v>
      </c>
      <c r="H432" s="42">
        <v>217</v>
      </c>
      <c r="I432" s="42">
        <f>H432+(H432*0.08)</f>
        <v>234.36</v>
      </c>
      <c r="J432" s="42">
        <v>0</v>
      </c>
      <c r="K432" s="42"/>
      <c r="L432" s="42"/>
      <c r="M432" s="42"/>
      <c r="N432" s="42">
        <f>J432+(J432*0.07)</f>
        <v>0</v>
      </c>
      <c r="O432" s="42"/>
      <c r="P432" s="42"/>
      <c r="Q432" s="42">
        <f>N432+(N432*0.07)</f>
        <v>0</v>
      </c>
      <c r="R432" s="35" t="e">
        <f t="shared" si="95"/>
        <v>#DIV/0!</v>
      </c>
      <c r="S432" s="42"/>
      <c r="T432" s="47"/>
      <c r="U432" s="35"/>
      <c r="V432" s="61"/>
      <c r="W432" s="37">
        <f>J432/I432*100</f>
        <v>0</v>
      </c>
      <c r="X432" s="37" t="e">
        <f>N432/J432*100</f>
        <v>#DIV/0!</v>
      </c>
    </row>
    <row r="433" spans="1:24" ht="25.5">
      <c r="A433" s="39"/>
      <c r="B433" s="40"/>
      <c r="C433" s="39"/>
      <c r="D433" s="41">
        <v>4</v>
      </c>
      <c r="E433" s="39">
        <v>0</v>
      </c>
      <c r="F433" s="39"/>
      <c r="G433" s="45" t="s">
        <v>201</v>
      </c>
      <c r="H433" s="42">
        <f>H434+H435</f>
        <v>0</v>
      </c>
      <c r="I433" s="42">
        <f>I434+I435</f>
        <v>0</v>
      </c>
      <c r="J433" s="42">
        <f>J434+J435</f>
        <v>0</v>
      </c>
      <c r="K433" s="42"/>
      <c r="L433" s="42"/>
      <c r="M433" s="42"/>
      <c r="N433" s="42">
        <f>N434+N435</f>
        <v>0</v>
      </c>
      <c r="O433" s="42"/>
      <c r="P433" s="42"/>
      <c r="Q433" s="42"/>
      <c r="R433" s="35" t="e">
        <f t="shared" si="95"/>
        <v>#DIV/0!</v>
      </c>
      <c r="S433" s="42"/>
      <c r="T433" s="47"/>
      <c r="U433" s="35"/>
      <c r="V433" s="61"/>
      <c r="W433" s="37"/>
      <c r="X433" s="37"/>
    </row>
    <row r="434" spans="1:24" ht="12.75">
      <c r="A434" s="39"/>
      <c r="B434" s="40"/>
      <c r="C434" s="39"/>
      <c r="D434" s="41"/>
      <c r="E434" s="39"/>
      <c r="F434" s="39">
        <v>421</v>
      </c>
      <c r="G434" s="39" t="s">
        <v>152</v>
      </c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35" t="e">
        <f t="shared" si="95"/>
        <v>#DIV/0!</v>
      </c>
      <c r="S434" s="42"/>
      <c r="T434" s="47"/>
      <c r="U434" s="35"/>
      <c r="V434" s="61"/>
      <c r="W434" s="37"/>
      <c r="X434" s="37"/>
    </row>
    <row r="435" spans="1:24" ht="12.75">
      <c r="A435" s="39"/>
      <c r="B435" s="40"/>
      <c r="C435" s="39"/>
      <c r="D435" s="41"/>
      <c r="E435" s="39"/>
      <c r="F435" s="39">
        <v>412</v>
      </c>
      <c r="G435" s="39" t="s">
        <v>68</v>
      </c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35" t="e">
        <f t="shared" si="95"/>
        <v>#DIV/0!</v>
      </c>
      <c r="S435" s="42"/>
      <c r="T435" s="47"/>
      <c r="U435" s="35"/>
      <c r="V435" s="61"/>
      <c r="W435" s="37"/>
      <c r="X435" s="37"/>
    </row>
    <row r="436" spans="1:24" ht="25.5">
      <c r="A436" s="39"/>
      <c r="B436" s="40"/>
      <c r="C436" s="39">
        <v>467</v>
      </c>
      <c r="D436" s="41"/>
      <c r="E436" s="39"/>
      <c r="F436" s="39"/>
      <c r="G436" s="39" t="s">
        <v>202</v>
      </c>
      <c r="H436" s="42">
        <f>H437+H448+H457</f>
        <v>80000</v>
      </c>
      <c r="I436" s="42">
        <f>I448+I472</f>
        <v>2150</v>
      </c>
      <c r="J436" s="42">
        <f>J448+J465+J472</f>
        <v>3400</v>
      </c>
      <c r="K436" s="42"/>
      <c r="L436" s="42"/>
      <c r="M436" s="42"/>
      <c r="N436" s="42">
        <f>N448+N472+N437+N457</f>
        <v>0</v>
      </c>
      <c r="O436" s="42"/>
      <c r="P436" s="42"/>
      <c r="Q436" s="42">
        <f>Q437+Q448</f>
        <v>3869264</v>
      </c>
      <c r="R436" s="35" t="e">
        <f t="shared" si="95"/>
        <v>#DIV/0!</v>
      </c>
      <c r="S436" s="42"/>
      <c r="T436" s="47"/>
      <c r="U436" s="35"/>
      <c r="V436" s="61"/>
      <c r="W436" s="37"/>
      <c r="X436" s="37"/>
    </row>
    <row r="437" spans="1:24" ht="38.25">
      <c r="A437" s="39"/>
      <c r="B437" s="40"/>
      <c r="C437" s="39"/>
      <c r="D437" s="41">
        <v>3</v>
      </c>
      <c r="E437" s="39"/>
      <c r="F437" s="39"/>
      <c r="G437" s="45" t="s">
        <v>203</v>
      </c>
      <c r="H437" s="42">
        <f>SUM(H438+H440+H442+H446)</f>
        <v>0</v>
      </c>
      <c r="I437" s="42">
        <f>SUM(I438+I440+I442+I446)</f>
        <v>0</v>
      </c>
      <c r="J437" s="42">
        <f>SUM(J438+J440+J442+J446)</f>
        <v>0</v>
      </c>
      <c r="K437" s="42"/>
      <c r="L437" s="42"/>
      <c r="M437" s="42"/>
      <c r="N437" s="42">
        <f>SUM(N438+N440+N442+N446)</f>
        <v>0</v>
      </c>
      <c r="O437" s="42"/>
      <c r="P437" s="42"/>
      <c r="Q437" s="42">
        <f>Q438+Q440</f>
        <v>2495617</v>
      </c>
      <c r="R437" s="35" t="e">
        <f t="shared" si="95"/>
        <v>#DIV/0!</v>
      </c>
      <c r="S437" s="42"/>
      <c r="T437" s="47"/>
      <c r="U437" s="35"/>
      <c r="V437" s="61"/>
      <c r="W437" s="37"/>
      <c r="X437" s="37"/>
    </row>
    <row r="438" spans="1:24" ht="25.5">
      <c r="A438" s="39"/>
      <c r="B438" s="40"/>
      <c r="C438" s="39"/>
      <c r="D438" s="41"/>
      <c r="E438" s="39" t="s">
        <v>104</v>
      </c>
      <c r="F438" s="39"/>
      <c r="G438" s="51" t="s">
        <v>105</v>
      </c>
      <c r="H438" s="42">
        <f>H439</f>
        <v>0</v>
      </c>
      <c r="I438" s="42">
        <f>I439</f>
        <v>0</v>
      </c>
      <c r="J438" s="42">
        <f>J439</f>
        <v>0</v>
      </c>
      <c r="K438" s="42"/>
      <c r="L438" s="42"/>
      <c r="M438" s="42"/>
      <c r="N438" s="42">
        <f>N439</f>
        <v>0</v>
      </c>
      <c r="O438" s="42"/>
      <c r="P438" s="42"/>
      <c r="Q438" s="42">
        <v>930617</v>
      </c>
      <c r="R438" s="35" t="e">
        <f t="shared" si="95"/>
        <v>#DIV/0!</v>
      </c>
      <c r="S438" s="42"/>
      <c r="T438" s="47"/>
      <c r="U438" s="35"/>
      <c r="V438" s="61"/>
      <c r="W438" s="37"/>
      <c r="X438" s="37"/>
    </row>
    <row r="439" spans="1:24" ht="12.75">
      <c r="A439" s="39"/>
      <c r="B439" s="40"/>
      <c r="C439" s="39"/>
      <c r="D439" s="41"/>
      <c r="E439" s="39"/>
      <c r="F439" s="39">
        <v>421</v>
      </c>
      <c r="G439" s="39" t="s">
        <v>152</v>
      </c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35" t="e">
        <f t="shared" si="95"/>
        <v>#DIV/0!</v>
      </c>
      <c r="S439" s="42"/>
      <c r="T439" s="47"/>
      <c r="U439" s="35"/>
      <c r="V439" s="61"/>
      <c r="W439" s="37"/>
      <c r="X439" s="37"/>
    </row>
    <row r="440" spans="1:24" ht="12.75">
      <c r="A440" s="39"/>
      <c r="B440" s="40"/>
      <c r="C440" s="39"/>
      <c r="D440" s="41"/>
      <c r="E440" s="39" t="s">
        <v>204</v>
      </c>
      <c r="F440" s="39"/>
      <c r="G440" s="51" t="s">
        <v>205</v>
      </c>
      <c r="H440" s="42">
        <f>H441</f>
        <v>0</v>
      </c>
      <c r="I440" s="42">
        <f>I441</f>
        <v>0</v>
      </c>
      <c r="J440" s="42">
        <f>J441</f>
        <v>0</v>
      </c>
      <c r="K440" s="42"/>
      <c r="L440" s="42"/>
      <c r="M440" s="42"/>
      <c r="N440" s="42">
        <f>N441</f>
        <v>0</v>
      </c>
      <c r="O440" s="42"/>
      <c r="P440" s="42"/>
      <c r="Q440" s="42">
        <v>1565000</v>
      </c>
      <c r="R440" s="35" t="e">
        <f t="shared" si="95"/>
        <v>#DIV/0!</v>
      </c>
      <c r="S440" s="42"/>
      <c r="T440" s="47"/>
      <c r="U440" s="35"/>
      <c r="V440" s="61"/>
      <c r="W440" s="37"/>
      <c r="X440" s="37"/>
    </row>
    <row r="441" spans="1:24" ht="12.75">
      <c r="A441" s="39"/>
      <c r="B441" s="40"/>
      <c r="C441" s="39"/>
      <c r="D441" s="41"/>
      <c r="E441" s="39"/>
      <c r="F441" s="39">
        <v>421</v>
      </c>
      <c r="G441" s="39" t="s">
        <v>152</v>
      </c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35" t="e">
        <f t="shared" si="95"/>
        <v>#DIV/0!</v>
      </c>
      <c r="S441" s="42"/>
      <c r="T441" s="47"/>
      <c r="U441" s="35"/>
      <c r="V441" s="61"/>
      <c r="W441" s="37"/>
      <c r="X441" s="37"/>
    </row>
    <row r="442" spans="1:24" ht="12.75">
      <c r="A442" s="39"/>
      <c r="B442" s="40"/>
      <c r="C442" s="39"/>
      <c r="D442" s="41"/>
      <c r="E442" s="39" t="s">
        <v>106</v>
      </c>
      <c r="F442" s="39"/>
      <c r="G442" s="67" t="s">
        <v>107</v>
      </c>
      <c r="H442" s="42">
        <f>SUM(H445)</f>
        <v>0</v>
      </c>
      <c r="I442" s="42">
        <f>SUM(I445)</f>
        <v>0</v>
      </c>
      <c r="J442" s="42">
        <f>SUM(J445)</f>
        <v>0</v>
      </c>
      <c r="K442" s="42"/>
      <c r="L442" s="42"/>
      <c r="M442" s="42"/>
      <c r="N442" s="42">
        <f>SUM(N445)</f>
        <v>0</v>
      </c>
      <c r="O442" s="42"/>
      <c r="P442" s="42"/>
      <c r="Q442" s="42"/>
      <c r="R442" s="35" t="e">
        <f t="shared" si="95"/>
        <v>#DIV/0!</v>
      </c>
      <c r="S442" s="42"/>
      <c r="T442" s="47"/>
      <c r="U442" s="35"/>
      <c r="V442" s="61"/>
      <c r="W442" s="37"/>
      <c r="X442" s="37"/>
    </row>
    <row r="443" spans="1:24" ht="12.75">
      <c r="A443" s="39"/>
      <c r="B443" s="40"/>
      <c r="C443" s="39"/>
      <c r="D443" s="41"/>
      <c r="E443" s="39"/>
      <c r="F443" s="39">
        <v>149</v>
      </c>
      <c r="G443" s="39" t="s">
        <v>43</v>
      </c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35" t="e">
        <f t="shared" si="95"/>
        <v>#DIV/0!</v>
      </c>
      <c r="S443" s="42"/>
      <c r="T443" s="47"/>
      <c r="U443" s="35"/>
      <c r="V443" s="61"/>
      <c r="W443" s="37"/>
      <c r="X443" s="37"/>
    </row>
    <row r="444" spans="1:24" ht="12.75">
      <c r="A444" s="39"/>
      <c r="B444" s="40"/>
      <c r="C444" s="39"/>
      <c r="D444" s="41"/>
      <c r="E444" s="39"/>
      <c r="F444" s="39">
        <v>159</v>
      </c>
      <c r="G444" s="39" t="s">
        <v>46</v>
      </c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35" t="e">
        <f t="shared" si="95"/>
        <v>#DIV/0!</v>
      </c>
      <c r="S444" s="42"/>
      <c r="T444" s="47"/>
      <c r="U444" s="35"/>
      <c r="V444" s="61"/>
      <c r="W444" s="37"/>
      <c r="X444" s="37"/>
    </row>
    <row r="445" spans="1:24" ht="12.75">
      <c r="A445" s="39"/>
      <c r="B445" s="40"/>
      <c r="C445" s="39"/>
      <c r="D445" s="41"/>
      <c r="E445" s="39"/>
      <c r="F445" s="39">
        <v>421</v>
      </c>
      <c r="G445" s="39" t="s">
        <v>152</v>
      </c>
      <c r="H445" s="42"/>
      <c r="I445" s="42"/>
      <c r="J445" s="42">
        <f>I445+(I445*0.075)</f>
        <v>0</v>
      </c>
      <c r="K445" s="42"/>
      <c r="L445" s="42"/>
      <c r="M445" s="42"/>
      <c r="N445" s="42">
        <f>J445+(J445*0.07)</f>
        <v>0</v>
      </c>
      <c r="O445" s="42"/>
      <c r="P445" s="42"/>
      <c r="Q445" s="42"/>
      <c r="R445" s="35" t="e">
        <f t="shared" si="95"/>
        <v>#DIV/0!</v>
      </c>
      <c r="S445" s="42"/>
      <c r="T445" s="47"/>
      <c r="U445" s="35"/>
      <c r="V445" s="61"/>
      <c r="W445" s="37"/>
      <c r="X445" s="37"/>
    </row>
    <row r="446" spans="1:24" ht="25.5">
      <c r="A446" s="39"/>
      <c r="B446" s="40"/>
      <c r="C446" s="39"/>
      <c r="D446" s="41"/>
      <c r="E446" s="39" t="s">
        <v>206</v>
      </c>
      <c r="F446" s="39"/>
      <c r="G446" s="45" t="s">
        <v>207</v>
      </c>
      <c r="H446" s="42">
        <f>SUM(H447)</f>
        <v>0</v>
      </c>
      <c r="I446" s="42">
        <f>SUM(I447)</f>
        <v>0</v>
      </c>
      <c r="J446" s="42">
        <f>SUM(J447)</f>
        <v>0</v>
      </c>
      <c r="K446" s="42"/>
      <c r="L446" s="42"/>
      <c r="M446" s="42"/>
      <c r="N446" s="42">
        <f>SUM(N447)</f>
        <v>0</v>
      </c>
      <c r="O446" s="42"/>
      <c r="P446" s="42"/>
      <c r="Q446" s="42"/>
      <c r="R446" s="35" t="e">
        <f t="shared" si="95"/>
        <v>#DIV/0!</v>
      </c>
      <c r="S446" s="42"/>
      <c r="T446" s="47"/>
      <c r="U446" s="35"/>
      <c r="V446" s="61"/>
      <c r="W446" s="37"/>
      <c r="X446" s="37"/>
    </row>
    <row r="447" spans="1:24" ht="12.75">
      <c r="A447" s="39"/>
      <c r="B447" s="40"/>
      <c r="C447" s="39"/>
      <c r="D447" s="41"/>
      <c r="E447" s="39"/>
      <c r="F447" s="39">
        <v>421</v>
      </c>
      <c r="G447" s="39" t="s">
        <v>152</v>
      </c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35" t="e">
        <f t="shared" si="95"/>
        <v>#DIV/0!</v>
      </c>
      <c r="S447" s="42"/>
      <c r="T447" s="47"/>
      <c r="U447" s="35"/>
      <c r="V447" s="61"/>
      <c r="W447" s="37"/>
      <c r="X447" s="37"/>
    </row>
    <row r="448" spans="1:24" ht="38.25">
      <c r="A448" s="39"/>
      <c r="B448" s="40"/>
      <c r="C448" s="39"/>
      <c r="D448" s="41">
        <v>4</v>
      </c>
      <c r="E448" s="39"/>
      <c r="F448" s="39"/>
      <c r="G448" s="45" t="s">
        <v>208</v>
      </c>
      <c r="H448" s="42">
        <f>H449+H451+H453</f>
        <v>80000</v>
      </c>
      <c r="I448" s="42">
        <f>I453</f>
        <v>1168</v>
      </c>
      <c r="J448" s="42">
        <f>J449+J451+J453</f>
        <v>0</v>
      </c>
      <c r="K448" s="42"/>
      <c r="L448" s="42"/>
      <c r="M448" s="42"/>
      <c r="N448" s="42">
        <f>N449</f>
        <v>0</v>
      </c>
      <c r="O448" s="42"/>
      <c r="P448" s="42"/>
      <c r="Q448" s="42">
        <v>1373647</v>
      </c>
      <c r="R448" s="35" t="e">
        <f t="shared" si="95"/>
        <v>#DIV/0!</v>
      </c>
      <c r="S448" s="42"/>
      <c r="T448" s="45"/>
      <c r="U448" s="35"/>
      <c r="V448" s="61"/>
      <c r="W448" s="37"/>
      <c r="X448" s="37"/>
    </row>
    <row r="449" spans="1:24" ht="25.5">
      <c r="A449" s="39"/>
      <c r="B449" s="40"/>
      <c r="C449" s="39"/>
      <c r="D449" s="41"/>
      <c r="E449" s="39" t="s">
        <v>104</v>
      </c>
      <c r="F449" s="39"/>
      <c r="G449" s="51" t="s">
        <v>105</v>
      </c>
      <c r="H449" s="42"/>
      <c r="I449" s="42"/>
      <c r="J449" s="42">
        <f>J450</f>
        <v>0</v>
      </c>
      <c r="K449" s="42"/>
      <c r="L449" s="42"/>
      <c r="M449" s="42"/>
      <c r="N449" s="42"/>
      <c r="O449" s="42"/>
      <c r="P449" s="42"/>
      <c r="Q449" s="42"/>
      <c r="R449" s="35" t="e">
        <f t="shared" si="95"/>
        <v>#DIV/0!</v>
      </c>
      <c r="S449" s="42"/>
      <c r="T449" s="47"/>
      <c r="U449" s="35"/>
      <c r="V449" s="61"/>
      <c r="W449" s="37"/>
      <c r="X449" s="37"/>
    </row>
    <row r="450" spans="1:24" ht="12.75">
      <c r="A450" s="39"/>
      <c r="B450" s="40"/>
      <c r="C450" s="39"/>
      <c r="D450" s="41"/>
      <c r="E450" s="39"/>
      <c r="F450" s="39">
        <v>421</v>
      </c>
      <c r="G450" s="39" t="s">
        <v>152</v>
      </c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35" t="e">
        <f t="shared" si="95"/>
        <v>#DIV/0!</v>
      </c>
      <c r="S450" s="42"/>
      <c r="T450" s="47"/>
      <c r="U450" s="35"/>
      <c r="V450" s="61"/>
      <c r="W450" s="37"/>
      <c r="X450" s="37"/>
    </row>
    <row r="451" spans="1:24" ht="12.75">
      <c r="A451" s="39"/>
      <c r="B451" s="40"/>
      <c r="C451" s="39"/>
      <c r="D451" s="41"/>
      <c r="E451" s="39" t="s">
        <v>204</v>
      </c>
      <c r="F451" s="39"/>
      <c r="G451" s="39" t="s">
        <v>205</v>
      </c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35" t="e">
        <f t="shared" si="95"/>
        <v>#DIV/0!</v>
      </c>
      <c r="S451" s="42"/>
      <c r="T451" s="47"/>
      <c r="U451" s="35"/>
      <c r="V451" s="61"/>
      <c r="W451" s="37"/>
      <c r="X451" s="37"/>
    </row>
    <row r="452" spans="1:24" ht="12.75">
      <c r="A452" s="39"/>
      <c r="B452" s="40"/>
      <c r="C452" s="39"/>
      <c r="D452" s="41"/>
      <c r="E452" s="39"/>
      <c r="F452" s="39">
        <v>421</v>
      </c>
      <c r="G452" s="39" t="s">
        <v>152</v>
      </c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35" t="e">
        <f t="shared" si="95"/>
        <v>#DIV/0!</v>
      </c>
      <c r="S452" s="42"/>
      <c r="T452" s="47"/>
      <c r="U452" s="35"/>
      <c r="V452" s="61"/>
      <c r="W452" s="37"/>
      <c r="X452" s="37"/>
    </row>
    <row r="453" spans="1:24" ht="12.75">
      <c r="A453" s="39"/>
      <c r="B453" s="40"/>
      <c r="C453" s="39"/>
      <c r="D453" s="41"/>
      <c r="E453" s="39" t="s">
        <v>106</v>
      </c>
      <c r="F453" s="39"/>
      <c r="G453" s="67" t="s">
        <v>107</v>
      </c>
      <c r="H453" s="42">
        <f>H454+H455+H456</f>
        <v>80000</v>
      </c>
      <c r="I453" s="42">
        <f>I454+I455+I456</f>
        <v>1168</v>
      </c>
      <c r="J453" s="42">
        <f>J454+J455+J456</f>
        <v>0</v>
      </c>
      <c r="K453" s="42"/>
      <c r="L453" s="42"/>
      <c r="M453" s="42"/>
      <c r="N453" s="42">
        <f>N454+N455+N456</f>
        <v>0</v>
      </c>
      <c r="O453" s="42"/>
      <c r="P453" s="42"/>
      <c r="Q453" s="42">
        <f>Q454+Q455+Q456</f>
        <v>0</v>
      </c>
      <c r="R453" s="35" t="e">
        <f t="shared" si="95"/>
        <v>#DIV/0!</v>
      </c>
      <c r="S453" s="42"/>
      <c r="T453" s="47"/>
      <c r="U453" s="35"/>
      <c r="V453" s="61"/>
      <c r="W453" s="37"/>
      <c r="X453" s="37"/>
    </row>
    <row r="454" spans="1:24" ht="12.75">
      <c r="A454" s="39"/>
      <c r="B454" s="40"/>
      <c r="C454" s="39"/>
      <c r="D454" s="41"/>
      <c r="E454" s="39"/>
      <c r="F454" s="39">
        <v>149</v>
      </c>
      <c r="G454" s="39" t="s">
        <v>43</v>
      </c>
      <c r="H454" s="42"/>
      <c r="I454" s="42">
        <v>1168</v>
      </c>
      <c r="J454" s="42"/>
      <c r="K454" s="42"/>
      <c r="L454" s="42"/>
      <c r="M454" s="42"/>
      <c r="N454" s="42"/>
      <c r="O454" s="42"/>
      <c r="P454" s="42"/>
      <c r="Q454" s="42"/>
      <c r="R454" s="35" t="e">
        <f t="shared" si="95"/>
        <v>#DIV/0!</v>
      </c>
      <c r="S454" s="42"/>
      <c r="T454" s="47"/>
      <c r="U454" s="35"/>
      <c r="V454" s="61"/>
      <c r="W454" s="37"/>
      <c r="X454" s="37"/>
    </row>
    <row r="455" spans="1:24" ht="12.75">
      <c r="A455" s="39"/>
      <c r="B455" s="40"/>
      <c r="C455" s="39"/>
      <c r="D455" s="41"/>
      <c r="E455" s="39"/>
      <c r="F455" s="39">
        <v>159</v>
      </c>
      <c r="G455" s="39" t="s">
        <v>46</v>
      </c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35" t="e">
        <f t="shared" si="95"/>
        <v>#DIV/0!</v>
      </c>
      <c r="S455" s="42"/>
      <c r="T455" s="47"/>
      <c r="U455" s="35"/>
      <c r="V455" s="61"/>
      <c r="W455" s="37"/>
      <c r="X455" s="37"/>
    </row>
    <row r="456" spans="1:24" ht="12.75">
      <c r="A456" s="39"/>
      <c r="B456" s="40"/>
      <c r="C456" s="39"/>
      <c r="D456" s="41"/>
      <c r="E456" s="39"/>
      <c r="F456" s="39">
        <v>421</v>
      </c>
      <c r="G456" s="39" t="s">
        <v>152</v>
      </c>
      <c r="H456" s="42">
        <v>80000</v>
      </c>
      <c r="I456" s="42"/>
      <c r="J456" s="42"/>
      <c r="K456" s="42"/>
      <c r="L456" s="42"/>
      <c r="M456" s="42"/>
      <c r="N456" s="42"/>
      <c r="O456" s="42"/>
      <c r="P456" s="42"/>
      <c r="Q456" s="42"/>
      <c r="R456" s="35" t="e">
        <f t="shared" si="95"/>
        <v>#DIV/0!</v>
      </c>
      <c r="S456" s="42"/>
      <c r="T456" s="47"/>
      <c r="U456" s="35"/>
      <c r="V456" s="61"/>
      <c r="W456" s="37"/>
      <c r="X456" s="37"/>
    </row>
    <row r="457" spans="1:24" ht="12.75">
      <c r="A457" s="39"/>
      <c r="B457" s="40"/>
      <c r="C457" s="39"/>
      <c r="D457" s="41"/>
      <c r="E457" s="68"/>
      <c r="F457" s="68"/>
      <c r="G457" s="45"/>
      <c r="H457" s="42">
        <f>H458+H460</f>
        <v>0</v>
      </c>
      <c r="I457" s="42">
        <f>I458+I460</f>
        <v>0</v>
      </c>
      <c r="J457" s="42">
        <f>J458+J460</f>
        <v>0</v>
      </c>
      <c r="K457" s="42"/>
      <c r="L457" s="42"/>
      <c r="M457" s="42"/>
      <c r="N457" s="42">
        <f>N458+N460</f>
        <v>0</v>
      </c>
      <c r="O457" s="42"/>
      <c r="P457" s="42"/>
      <c r="Q457" s="42"/>
      <c r="R457" s="35" t="e">
        <f t="shared" si="95"/>
        <v>#DIV/0!</v>
      </c>
      <c r="S457" s="42"/>
      <c r="T457" s="47"/>
      <c r="U457" s="35"/>
      <c r="V457" s="61"/>
      <c r="W457" s="37"/>
      <c r="X457" s="37"/>
    </row>
    <row r="458" spans="1:24" ht="12.75">
      <c r="A458" s="39"/>
      <c r="B458" s="40"/>
      <c r="C458" s="39"/>
      <c r="D458" s="69"/>
      <c r="E458" s="39" t="s">
        <v>204</v>
      </c>
      <c r="F458" s="68"/>
      <c r="G458" s="39" t="s">
        <v>205</v>
      </c>
      <c r="H458" s="42">
        <f>H459</f>
        <v>0</v>
      </c>
      <c r="I458" s="42">
        <f>I459</f>
        <v>0</v>
      </c>
      <c r="J458" s="42">
        <f>J459</f>
        <v>0</v>
      </c>
      <c r="K458" s="42"/>
      <c r="L458" s="42"/>
      <c r="M458" s="42"/>
      <c r="N458" s="42">
        <f>N459</f>
        <v>0</v>
      </c>
      <c r="O458" s="42"/>
      <c r="P458" s="42"/>
      <c r="Q458" s="42"/>
      <c r="R458" s="35" t="e">
        <f t="shared" si="95"/>
        <v>#DIV/0!</v>
      </c>
      <c r="S458" s="42"/>
      <c r="T458" s="47"/>
      <c r="U458" s="35"/>
      <c r="V458" s="61"/>
      <c r="W458" s="37"/>
      <c r="X458" s="37"/>
    </row>
    <row r="459" spans="1:24" ht="12.75">
      <c r="A459" s="39"/>
      <c r="B459" s="40"/>
      <c r="C459" s="39"/>
      <c r="D459" s="69"/>
      <c r="E459" s="68"/>
      <c r="F459" s="39">
        <v>421</v>
      </c>
      <c r="G459" s="39" t="s">
        <v>152</v>
      </c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35" t="e">
        <f aca="true" t="shared" si="98" ref="R459:R522">Q459/N459*100</f>
        <v>#DIV/0!</v>
      </c>
      <c r="S459" s="42"/>
      <c r="T459" s="47"/>
      <c r="U459" s="35"/>
      <c r="V459" s="61"/>
      <c r="W459" s="37"/>
      <c r="X459" s="37"/>
    </row>
    <row r="460" spans="1:24" ht="12.75">
      <c r="A460" s="39"/>
      <c r="B460" s="40"/>
      <c r="C460" s="39"/>
      <c r="D460" s="69"/>
      <c r="E460" s="68" t="s">
        <v>106</v>
      </c>
      <c r="F460" s="68"/>
      <c r="G460" s="39" t="s">
        <v>209</v>
      </c>
      <c r="H460" s="42">
        <f>H461</f>
        <v>0</v>
      </c>
      <c r="I460" s="42">
        <f>I461</f>
        <v>0</v>
      </c>
      <c r="J460" s="42">
        <f>J461</f>
        <v>0</v>
      </c>
      <c r="K460" s="42"/>
      <c r="L460" s="42"/>
      <c r="M460" s="42"/>
      <c r="N460" s="42">
        <f>N461</f>
        <v>0</v>
      </c>
      <c r="O460" s="42"/>
      <c r="P460" s="42"/>
      <c r="Q460" s="42"/>
      <c r="R460" s="35" t="e">
        <f t="shared" si="98"/>
        <v>#DIV/0!</v>
      </c>
      <c r="S460" s="42"/>
      <c r="T460" s="47"/>
      <c r="U460" s="35"/>
      <c r="V460" s="61"/>
      <c r="W460" s="37"/>
      <c r="X460" s="37"/>
    </row>
    <row r="461" spans="1:24" ht="12.75">
      <c r="A461" s="39"/>
      <c r="B461" s="40"/>
      <c r="C461" s="39"/>
      <c r="D461" s="69"/>
      <c r="E461" s="68"/>
      <c r="F461" s="68">
        <v>421</v>
      </c>
      <c r="G461" s="39" t="s">
        <v>152</v>
      </c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35" t="e">
        <f t="shared" si="98"/>
        <v>#DIV/0!</v>
      </c>
      <c r="S461" s="42"/>
      <c r="T461" s="47"/>
      <c r="U461" s="35"/>
      <c r="V461" s="61"/>
      <c r="W461" s="37"/>
      <c r="X461" s="37"/>
    </row>
    <row r="462" spans="1:24" ht="12.75">
      <c r="A462" s="39"/>
      <c r="B462" s="40"/>
      <c r="C462" s="39">
        <v>467</v>
      </c>
      <c r="D462" s="69"/>
      <c r="E462" s="68"/>
      <c r="F462" s="68"/>
      <c r="G462" s="31" t="s">
        <v>149</v>
      </c>
      <c r="H462" s="42"/>
      <c r="I462" s="42">
        <f>I463+I472</f>
        <v>982</v>
      </c>
      <c r="J462" s="42"/>
      <c r="K462" s="42"/>
      <c r="L462" s="42"/>
      <c r="M462" s="42"/>
      <c r="N462" s="42"/>
      <c r="O462" s="42"/>
      <c r="P462" s="42"/>
      <c r="Q462" s="42"/>
      <c r="R462" s="35" t="e">
        <f t="shared" si="98"/>
        <v>#DIV/0!</v>
      </c>
      <c r="S462" s="42"/>
      <c r="T462" s="47"/>
      <c r="U462" s="35"/>
      <c r="V462" s="61"/>
      <c r="W462" s="37"/>
      <c r="X462" s="37"/>
    </row>
    <row r="463" spans="1:24" ht="38.25">
      <c r="A463" s="39"/>
      <c r="B463" s="40"/>
      <c r="C463" s="39"/>
      <c r="D463" s="41">
        <v>3</v>
      </c>
      <c r="E463" s="39"/>
      <c r="F463" s="39"/>
      <c r="G463" s="45" t="s">
        <v>210</v>
      </c>
      <c r="H463" s="42"/>
      <c r="I463" s="42">
        <f>I464</f>
        <v>0</v>
      </c>
      <c r="J463" s="42"/>
      <c r="K463" s="42"/>
      <c r="L463" s="42"/>
      <c r="M463" s="42"/>
      <c r="N463" s="42"/>
      <c r="O463" s="42"/>
      <c r="P463" s="42"/>
      <c r="Q463" s="42"/>
      <c r="R463" s="35" t="e">
        <f t="shared" si="98"/>
        <v>#DIV/0!</v>
      </c>
      <c r="S463" s="42"/>
      <c r="T463" s="47"/>
      <c r="U463" s="35"/>
      <c r="V463" s="61"/>
      <c r="W463" s="37"/>
      <c r="X463" s="37"/>
    </row>
    <row r="464" spans="1:24" ht="12.75">
      <c r="A464" s="39"/>
      <c r="B464" s="40"/>
      <c r="C464" s="39"/>
      <c r="D464" s="41"/>
      <c r="E464" s="39">
        <v>11</v>
      </c>
      <c r="F464" s="39"/>
      <c r="G464" s="39" t="s">
        <v>105</v>
      </c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35" t="e">
        <f t="shared" si="98"/>
        <v>#DIV/0!</v>
      </c>
      <c r="S464" s="42"/>
      <c r="T464" s="47"/>
      <c r="U464" s="35"/>
      <c r="V464" s="61"/>
      <c r="W464" s="37"/>
      <c r="X464" s="37"/>
    </row>
    <row r="465" spans="1:24" ht="25.5">
      <c r="A465" s="39"/>
      <c r="B465" s="40"/>
      <c r="C465" s="39"/>
      <c r="D465" s="41">
        <v>4</v>
      </c>
      <c r="E465" s="39"/>
      <c r="F465" s="39"/>
      <c r="G465" s="51" t="s">
        <v>211</v>
      </c>
      <c r="H465" s="42"/>
      <c r="I465" s="42"/>
      <c r="J465" s="42">
        <f>J466+J470</f>
        <v>3400</v>
      </c>
      <c r="K465" s="42"/>
      <c r="L465" s="42"/>
      <c r="M465" s="42"/>
      <c r="N465" s="42"/>
      <c r="O465" s="42"/>
      <c r="P465" s="42"/>
      <c r="Q465" s="42"/>
      <c r="R465" s="35" t="e">
        <f t="shared" si="98"/>
        <v>#DIV/0!</v>
      </c>
      <c r="S465" s="42"/>
      <c r="T465" s="47"/>
      <c r="U465" s="35"/>
      <c r="V465" s="61"/>
      <c r="W465" s="37"/>
      <c r="X465" s="37"/>
    </row>
    <row r="466" spans="1:24" ht="25.5">
      <c r="A466" s="39"/>
      <c r="B466" s="40"/>
      <c r="C466" s="39"/>
      <c r="D466" s="41"/>
      <c r="E466" s="41">
        <v>11</v>
      </c>
      <c r="F466" s="39"/>
      <c r="G466" s="45" t="s">
        <v>105</v>
      </c>
      <c r="H466" s="42"/>
      <c r="I466" s="42"/>
      <c r="J466" s="42">
        <f>J467+J468+J469</f>
        <v>0</v>
      </c>
      <c r="K466" s="42"/>
      <c r="L466" s="42"/>
      <c r="M466" s="42"/>
      <c r="N466" s="42"/>
      <c r="O466" s="42"/>
      <c r="P466" s="42"/>
      <c r="Q466" s="42"/>
      <c r="R466" s="35" t="e">
        <f t="shared" si="98"/>
        <v>#DIV/0!</v>
      </c>
      <c r="S466" s="42"/>
      <c r="T466" s="47"/>
      <c r="U466" s="35"/>
      <c r="V466" s="61"/>
      <c r="W466" s="37"/>
      <c r="X466" s="37"/>
    </row>
    <row r="467" spans="1:24" ht="12.75">
      <c r="A467" s="39"/>
      <c r="B467" s="40"/>
      <c r="C467" s="39"/>
      <c r="D467" s="41"/>
      <c r="E467" s="41"/>
      <c r="F467" s="39">
        <v>149</v>
      </c>
      <c r="G467" s="39" t="s">
        <v>43</v>
      </c>
      <c r="H467" s="42"/>
      <c r="I467" s="42"/>
      <c r="J467" s="42">
        <v>0</v>
      </c>
      <c r="K467" s="42"/>
      <c r="L467" s="42"/>
      <c r="M467" s="42"/>
      <c r="N467" s="42"/>
      <c r="O467" s="42"/>
      <c r="P467" s="42"/>
      <c r="Q467" s="42"/>
      <c r="R467" s="35" t="e">
        <f t="shared" si="98"/>
        <v>#DIV/0!</v>
      </c>
      <c r="S467" s="42"/>
      <c r="T467" s="47"/>
      <c r="U467" s="35"/>
      <c r="V467" s="61"/>
      <c r="W467" s="37"/>
      <c r="X467" s="37"/>
    </row>
    <row r="468" spans="1:24" ht="12.75">
      <c r="A468" s="39"/>
      <c r="B468" s="40"/>
      <c r="C468" s="39"/>
      <c r="D468" s="41"/>
      <c r="E468" s="41"/>
      <c r="F468" s="39">
        <v>421</v>
      </c>
      <c r="G468" s="39" t="s">
        <v>152</v>
      </c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35" t="e">
        <f t="shared" si="98"/>
        <v>#DIV/0!</v>
      </c>
      <c r="S468" s="42"/>
      <c r="T468" s="47"/>
      <c r="U468" s="35"/>
      <c r="V468" s="61"/>
      <c r="W468" s="37"/>
      <c r="X468" s="37"/>
    </row>
    <row r="469" spans="1:24" ht="25.5">
      <c r="A469" s="39"/>
      <c r="B469" s="40"/>
      <c r="C469" s="39"/>
      <c r="D469" s="41"/>
      <c r="E469" s="41"/>
      <c r="F469" s="39">
        <v>431</v>
      </c>
      <c r="G469" s="39" t="s">
        <v>113</v>
      </c>
      <c r="H469" s="42"/>
      <c r="I469" s="42"/>
      <c r="J469" s="42">
        <v>0</v>
      </c>
      <c r="K469" s="42"/>
      <c r="L469" s="42"/>
      <c r="M469" s="42"/>
      <c r="N469" s="42"/>
      <c r="O469" s="42"/>
      <c r="P469" s="42"/>
      <c r="Q469" s="42"/>
      <c r="R469" s="35" t="e">
        <f t="shared" si="98"/>
        <v>#DIV/0!</v>
      </c>
      <c r="S469" s="42"/>
      <c r="T469" s="47"/>
      <c r="U469" s="35"/>
      <c r="V469" s="61"/>
      <c r="W469" s="37"/>
      <c r="X469" s="37"/>
    </row>
    <row r="470" spans="1:24" ht="12.75">
      <c r="A470" s="39"/>
      <c r="B470" s="40"/>
      <c r="C470" s="39"/>
      <c r="D470" s="41"/>
      <c r="E470" s="41">
        <v>15</v>
      </c>
      <c r="F470" s="39"/>
      <c r="G470" s="45" t="s">
        <v>107</v>
      </c>
      <c r="H470" s="42"/>
      <c r="I470" s="42"/>
      <c r="J470" s="42">
        <f>J471</f>
        <v>3400</v>
      </c>
      <c r="K470" s="42"/>
      <c r="L470" s="42"/>
      <c r="M470" s="42"/>
      <c r="N470" s="42"/>
      <c r="O470" s="42"/>
      <c r="P470" s="42"/>
      <c r="Q470" s="42"/>
      <c r="R470" s="35" t="e">
        <f t="shared" si="98"/>
        <v>#DIV/0!</v>
      </c>
      <c r="S470" s="42"/>
      <c r="T470" s="47"/>
      <c r="U470" s="35"/>
      <c r="V470" s="61"/>
      <c r="W470" s="37"/>
      <c r="X470" s="37"/>
    </row>
    <row r="471" spans="1:24" ht="12.75">
      <c r="A471" s="39"/>
      <c r="B471" s="40"/>
      <c r="C471" s="39"/>
      <c r="D471" s="41"/>
      <c r="E471" s="41"/>
      <c r="F471" s="39">
        <v>149</v>
      </c>
      <c r="G471" s="39" t="s">
        <v>43</v>
      </c>
      <c r="H471" s="42"/>
      <c r="I471" s="42"/>
      <c r="J471" s="42">
        <v>3400</v>
      </c>
      <c r="K471" s="42"/>
      <c r="L471" s="42"/>
      <c r="M471" s="42"/>
      <c r="N471" s="42"/>
      <c r="O471" s="42"/>
      <c r="P471" s="42"/>
      <c r="Q471" s="42"/>
      <c r="R471" s="35" t="e">
        <f t="shared" si="98"/>
        <v>#DIV/0!</v>
      </c>
      <c r="S471" s="42"/>
      <c r="T471" s="47"/>
      <c r="U471" s="35"/>
      <c r="V471" s="61"/>
      <c r="W471" s="37"/>
      <c r="X471" s="37"/>
    </row>
    <row r="472" spans="1:24" ht="12.75">
      <c r="A472" s="39"/>
      <c r="B472" s="40"/>
      <c r="C472" s="39"/>
      <c r="D472" s="41">
        <v>19</v>
      </c>
      <c r="E472" s="39"/>
      <c r="F472" s="39"/>
      <c r="G472" s="45" t="s">
        <v>212</v>
      </c>
      <c r="H472" s="42"/>
      <c r="I472" s="42">
        <f>I475</f>
        <v>982</v>
      </c>
      <c r="J472" s="42">
        <f>J473+J475</f>
        <v>0</v>
      </c>
      <c r="K472" s="42"/>
      <c r="L472" s="42"/>
      <c r="M472" s="42"/>
      <c r="N472" s="42">
        <f>N475</f>
        <v>0</v>
      </c>
      <c r="O472" s="42"/>
      <c r="P472" s="42"/>
      <c r="Q472" s="42">
        <f>Q475</f>
        <v>0</v>
      </c>
      <c r="R472" s="35" t="e">
        <f t="shared" si="98"/>
        <v>#DIV/0!</v>
      </c>
      <c r="S472" s="42"/>
      <c r="T472" s="47"/>
      <c r="U472" s="35"/>
      <c r="V472" s="61"/>
      <c r="W472" s="37"/>
      <c r="X472" s="37"/>
    </row>
    <row r="473" spans="1:24" ht="25.5">
      <c r="A473" s="39"/>
      <c r="B473" s="40"/>
      <c r="C473" s="39"/>
      <c r="D473" s="41"/>
      <c r="E473" s="41" t="s">
        <v>204</v>
      </c>
      <c r="F473" s="39"/>
      <c r="G473" s="45" t="s">
        <v>105</v>
      </c>
      <c r="H473" s="42"/>
      <c r="I473" s="42"/>
      <c r="J473" s="42">
        <f>J474</f>
        <v>0</v>
      </c>
      <c r="K473" s="42"/>
      <c r="L473" s="42"/>
      <c r="M473" s="42"/>
      <c r="N473" s="42"/>
      <c r="O473" s="42"/>
      <c r="P473" s="42"/>
      <c r="Q473" s="42"/>
      <c r="R473" s="35" t="e">
        <f t="shared" si="98"/>
        <v>#DIV/0!</v>
      </c>
      <c r="S473" s="42"/>
      <c r="T473" s="47"/>
      <c r="U473" s="35"/>
      <c r="V473" s="61"/>
      <c r="W473" s="37"/>
      <c r="X473" s="37"/>
    </row>
    <row r="474" spans="1:24" ht="12.75">
      <c r="A474" s="39"/>
      <c r="B474" s="40"/>
      <c r="C474" s="39"/>
      <c r="D474" s="41"/>
      <c r="E474" s="41"/>
      <c r="F474" s="39">
        <v>421</v>
      </c>
      <c r="G474" s="39" t="s">
        <v>152</v>
      </c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35" t="e">
        <f t="shared" si="98"/>
        <v>#DIV/0!</v>
      </c>
      <c r="S474" s="42"/>
      <c r="T474" s="47"/>
      <c r="U474" s="35"/>
      <c r="V474" s="61"/>
      <c r="W474" s="37"/>
      <c r="X474" s="37"/>
    </row>
    <row r="475" spans="1:24" ht="12.75">
      <c r="A475" s="39"/>
      <c r="B475" s="40"/>
      <c r="C475" s="39"/>
      <c r="D475" s="41"/>
      <c r="E475" s="39" t="s">
        <v>106</v>
      </c>
      <c r="F475" s="39"/>
      <c r="G475" s="67" t="s">
        <v>107</v>
      </c>
      <c r="H475" s="42"/>
      <c r="I475" s="42">
        <v>982</v>
      </c>
      <c r="J475" s="42">
        <f>J476</f>
        <v>0</v>
      </c>
      <c r="K475" s="42"/>
      <c r="L475" s="42"/>
      <c r="M475" s="42"/>
      <c r="N475" s="42"/>
      <c r="O475" s="42"/>
      <c r="P475" s="42"/>
      <c r="Q475" s="42"/>
      <c r="R475" s="35" t="e">
        <f t="shared" si="98"/>
        <v>#DIV/0!</v>
      </c>
      <c r="S475" s="42"/>
      <c r="T475" s="47"/>
      <c r="U475" s="35"/>
      <c r="V475" s="61"/>
      <c r="W475" s="37"/>
      <c r="X475" s="37"/>
    </row>
    <row r="476" spans="1:24" ht="12.75">
      <c r="A476" s="39"/>
      <c r="B476" s="40"/>
      <c r="C476" s="39"/>
      <c r="D476" s="41"/>
      <c r="E476" s="39"/>
      <c r="F476" s="39">
        <v>149</v>
      </c>
      <c r="G476" s="39" t="s">
        <v>43</v>
      </c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35" t="e">
        <f t="shared" si="98"/>
        <v>#DIV/0!</v>
      </c>
      <c r="S476" s="42"/>
      <c r="T476" s="47"/>
      <c r="U476" s="35"/>
      <c r="V476" s="61"/>
      <c r="W476" s="37"/>
      <c r="X476" s="37"/>
    </row>
    <row r="477" spans="1:24" ht="25.5">
      <c r="A477" s="39"/>
      <c r="B477" s="40" t="s">
        <v>69</v>
      </c>
      <c r="C477" s="39"/>
      <c r="D477" s="41"/>
      <c r="E477" s="39"/>
      <c r="F477" s="39"/>
      <c r="G477" s="39" t="s">
        <v>213</v>
      </c>
      <c r="H477" s="42">
        <f>H487</f>
        <v>3300</v>
      </c>
      <c r="I477" s="42">
        <f>I487+I497+I502</f>
        <v>0</v>
      </c>
      <c r="J477" s="42">
        <f>J487+J478</f>
        <v>177405</v>
      </c>
      <c r="K477" s="42"/>
      <c r="L477" s="42"/>
      <c r="M477" s="42"/>
      <c r="N477" s="42">
        <f>N487+N478</f>
        <v>0</v>
      </c>
      <c r="O477" s="42"/>
      <c r="P477" s="42"/>
      <c r="Q477" s="42">
        <f>Q487+Q478</f>
        <v>1797273</v>
      </c>
      <c r="R477" s="35" t="e">
        <f t="shared" si="98"/>
        <v>#DIV/0!</v>
      </c>
      <c r="S477" s="42"/>
      <c r="T477" s="42">
        <f>T487</f>
        <v>0</v>
      </c>
      <c r="U477" s="35"/>
      <c r="V477" s="61"/>
      <c r="W477" s="37"/>
      <c r="X477" s="37"/>
    </row>
    <row r="478" spans="1:24" ht="38.25">
      <c r="A478" s="39"/>
      <c r="B478" s="40"/>
      <c r="C478" s="39">
        <v>458</v>
      </c>
      <c r="D478" s="41"/>
      <c r="E478" s="39"/>
      <c r="F478" s="39"/>
      <c r="G478" s="39" t="s">
        <v>97</v>
      </c>
      <c r="H478" s="42"/>
      <c r="I478" s="42"/>
      <c r="J478" s="42">
        <f>J479+J484</f>
        <v>147320</v>
      </c>
      <c r="K478" s="42"/>
      <c r="L478" s="42"/>
      <c r="M478" s="42"/>
      <c r="N478" s="42">
        <f>N479+N484</f>
        <v>0</v>
      </c>
      <c r="O478" s="42"/>
      <c r="P478" s="42"/>
      <c r="Q478" s="42">
        <f>Q479+Q484</f>
        <v>1143808</v>
      </c>
      <c r="R478" s="35" t="e">
        <f t="shared" si="98"/>
        <v>#DIV/0!</v>
      </c>
      <c r="S478" s="42"/>
      <c r="T478" s="42">
        <f>T479+T484</f>
        <v>0</v>
      </c>
      <c r="U478" s="35"/>
      <c r="V478" s="61"/>
      <c r="W478" s="37"/>
      <c r="X478" s="37"/>
    </row>
    <row r="479" spans="1:24" ht="12.75">
      <c r="A479" s="39"/>
      <c r="B479" s="40"/>
      <c r="C479" s="39"/>
      <c r="D479" s="41">
        <v>28</v>
      </c>
      <c r="E479" s="39"/>
      <c r="F479" s="39"/>
      <c r="G479" s="45" t="s">
        <v>214</v>
      </c>
      <c r="H479" s="42"/>
      <c r="I479" s="42"/>
      <c r="J479" s="42">
        <f>J480+J482</f>
        <v>147320</v>
      </c>
      <c r="K479" s="42"/>
      <c r="L479" s="42"/>
      <c r="M479" s="42"/>
      <c r="N479" s="42">
        <f>N480</f>
        <v>0</v>
      </c>
      <c r="O479" s="42"/>
      <c r="P479" s="42"/>
      <c r="Q479" s="42">
        <v>786437</v>
      </c>
      <c r="R479" s="35" t="e">
        <f t="shared" si="98"/>
        <v>#DIV/0!</v>
      </c>
      <c r="S479" s="42"/>
      <c r="T479" s="47"/>
      <c r="U479" s="35"/>
      <c r="V479" s="61"/>
      <c r="W479" s="37"/>
      <c r="X479" s="37"/>
    </row>
    <row r="480" spans="1:24" ht="25.5">
      <c r="A480" s="39"/>
      <c r="B480" s="40"/>
      <c r="C480" s="39"/>
      <c r="D480" s="41"/>
      <c r="E480" s="41">
        <v>11</v>
      </c>
      <c r="F480" s="39"/>
      <c r="G480" s="45" t="s">
        <v>105</v>
      </c>
      <c r="H480" s="42"/>
      <c r="I480" s="42"/>
      <c r="J480" s="42">
        <f>J481</f>
        <v>0</v>
      </c>
      <c r="K480" s="42"/>
      <c r="L480" s="42"/>
      <c r="M480" s="42"/>
      <c r="N480" s="42"/>
      <c r="O480" s="42"/>
      <c r="P480" s="42"/>
      <c r="Q480" s="42"/>
      <c r="R480" s="35" t="e">
        <f t="shared" si="98"/>
        <v>#DIV/0!</v>
      </c>
      <c r="S480" s="42"/>
      <c r="T480" s="47"/>
      <c r="U480" s="35"/>
      <c r="V480" s="61"/>
      <c r="W480" s="37"/>
      <c r="X480" s="37"/>
    </row>
    <row r="481" spans="1:24" ht="12.75">
      <c r="A481" s="39"/>
      <c r="B481" s="40"/>
      <c r="C481" s="39"/>
      <c r="D481" s="41"/>
      <c r="E481" s="41"/>
      <c r="F481" s="39">
        <v>421</v>
      </c>
      <c r="G481" s="39" t="s">
        <v>152</v>
      </c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35" t="e">
        <f t="shared" si="98"/>
        <v>#DIV/0!</v>
      </c>
      <c r="S481" s="42"/>
      <c r="T481" s="47"/>
      <c r="U481" s="35"/>
      <c r="V481" s="61"/>
      <c r="W481" s="37"/>
      <c r="X481" s="37"/>
    </row>
    <row r="482" spans="1:24" ht="12.75">
      <c r="A482" s="39"/>
      <c r="B482" s="40"/>
      <c r="C482" s="39"/>
      <c r="D482" s="41"/>
      <c r="E482" s="41">
        <v>15</v>
      </c>
      <c r="F482" s="39"/>
      <c r="G482" s="45" t="s">
        <v>107</v>
      </c>
      <c r="H482" s="42"/>
      <c r="I482" s="42"/>
      <c r="J482" s="42">
        <f>J483</f>
        <v>147320</v>
      </c>
      <c r="K482" s="42"/>
      <c r="L482" s="42"/>
      <c r="M482" s="42"/>
      <c r="N482" s="42"/>
      <c r="O482" s="42"/>
      <c r="P482" s="42"/>
      <c r="Q482" s="42"/>
      <c r="R482" s="35" t="e">
        <f t="shared" si="98"/>
        <v>#DIV/0!</v>
      </c>
      <c r="S482" s="42"/>
      <c r="T482" s="47"/>
      <c r="U482" s="35"/>
      <c r="V482" s="61"/>
      <c r="W482" s="37"/>
      <c r="X482" s="37"/>
    </row>
    <row r="483" spans="1:24" ht="25.5">
      <c r="A483" s="39"/>
      <c r="B483" s="40"/>
      <c r="C483" s="39"/>
      <c r="D483" s="41"/>
      <c r="E483" s="41"/>
      <c r="F483" s="39">
        <v>411</v>
      </c>
      <c r="G483" s="39" t="s">
        <v>49</v>
      </c>
      <c r="H483" s="42"/>
      <c r="I483" s="42"/>
      <c r="J483" s="42">
        <v>147320</v>
      </c>
      <c r="K483" s="42"/>
      <c r="L483" s="42"/>
      <c r="M483" s="42"/>
      <c r="N483" s="42"/>
      <c r="O483" s="42"/>
      <c r="P483" s="42"/>
      <c r="Q483" s="42"/>
      <c r="R483" s="35" t="e">
        <f t="shared" si="98"/>
        <v>#DIV/0!</v>
      </c>
      <c r="S483" s="42"/>
      <c r="T483" s="47"/>
      <c r="U483" s="35"/>
      <c r="V483" s="61"/>
      <c r="W483" s="37"/>
      <c r="X483" s="37"/>
    </row>
    <row r="484" spans="1:24" ht="25.5">
      <c r="A484" s="39"/>
      <c r="B484" s="40"/>
      <c r="C484" s="39"/>
      <c r="D484" s="41">
        <v>29</v>
      </c>
      <c r="E484" s="39"/>
      <c r="F484" s="39"/>
      <c r="G484" s="45" t="s">
        <v>215</v>
      </c>
      <c r="H484" s="42"/>
      <c r="I484" s="42"/>
      <c r="J484" s="42">
        <f>J485</f>
        <v>0</v>
      </c>
      <c r="K484" s="42"/>
      <c r="L484" s="42"/>
      <c r="M484" s="42"/>
      <c r="N484" s="42"/>
      <c r="O484" s="42"/>
      <c r="P484" s="42"/>
      <c r="Q484" s="42">
        <v>357371</v>
      </c>
      <c r="R484" s="35" t="e">
        <f t="shared" si="98"/>
        <v>#DIV/0!</v>
      </c>
      <c r="S484" s="42"/>
      <c r="T484" s="47"/>
      <c r="U484" s="35"/>
      <c r="V484" s="61"/>
      <c r="W484" s="37"/>
      <c r="X484" s="37"/>
    </row>
    <row r="485" spans="1:24" ht="25.5">
      <c r="A485" s="39"/>
      <c r="B485" s="40"/>
      <c r="C485" s="39"/>
      <c r="D485" s="41"/>
      <c r="E485" s="41">
        <v>11</v>
      </c>
      <c r="F485" s="39"/>
      <c r="G485" s="45" t="s">
        <v>105</v>
      </c>
      <c r="H485" s="42"/>
      <c r="I485" s="42"/>
      <c r="J485" s="42">
        <f>J486</f>
        <v>0</v>
      </c>
      <c r="K485" s="42"/>
      <c r="L485" s="42"/>
      <c r="M485" s="42"/>
      <c r="N485" s="42"/>
      <c r="O485" s="42"/>
      <c r="P485" s="42"/>
      <c r="Q485" s="42"/>
      <c r="R485" s="35" t="e">
        <f t="shared" si="98"/>
        <v>#DIV/0!</v>
      </c>
      <c r="S485" s="42"/>
      <c r="T485" s="47"/>
      <c r="U485" s="35"/>
      <c r="V485" s="61"/>
      <c r="W485" s="37"/>
      <c r="X485" s="37"/>
    </row>
    <row r="486" spans="1:24" ht="12.75">
      <c r="A486" s="39"/>
      <c r="B486" s="40"/>
      <c r="C486" s="39"/>
      <c r="D486" s="41"/>
      <c r="E486" s="41"/>
      <c r="F486" s="39">
        <v>421</v>
      </c>
      <c r="G486" s="39" t="s">
        <v>152</v>
      </c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35" t="e">
        <f t="shared" si="98"/>
        <v>#DIV/0!</v>
      </c>
      <c r="S486" s="42"/>
      <c r="T486" s="47"/>
      <c r="U486" s="35"/>
      <c r="V486" s="61"/>
      <c r="W486" s="37"/>
      <c r="X486" s="37"/>
    </row>
    <row r="487" spans="1:24" ht="25.5">
      <c r="A487" s="39"/>
      <c r="B487" s="40"/>
      <c r="C487" s="39">
        <v>467</v>
      </c>
      <c r="D487" s="41"/>
      <c r="E487" s="39"/>
      <c r="F487" s="39"/>
      <c r="G487" s="39" t="s">
        <v>202</v>
      </c>
      <c r="H487" s="42">
        <f aca="true" t="shared" si="99" ref="H487:T487">H488+H493</f>
        <v>3300</v>
      </c>
      <c r="I487" s="42">
        <f t="shared" si="99"/>
        <v>0</v>
      </c>
      <c r="J487" s="42">
        <f t="shared" si="99"/>
        <v>30085</v>
      </c>
      <c r="K487" s="42"/>
      <c r="L487" s="42"/>
      <c r="M487" s="42"/>
      <c r="N487" s="42">
        <f t="shared" si="99"/>
        <v>0</v>
      </c>
      <c r="O487" s="42"/>
      <c r="P487" s="42"/>
      <c r="Q487" s="42">
        <f t="shared" si="99"/>
        <v>653465</v>
      </c>
      <c r="R487" s="35" t="e">
        <f t="shared" si="98"/>
        <v>#DIV/0!</v>
      </c>
      <c r="S487" s="42"/>
      <c r="T487" s="42">
        <f t="shared" si="99"/>
        <v>0</v>
      </c>
      <c r="U487" s="35"/>
      <c r="V487" s="61"/>
      <c r="W487" s="37"/>
      <c r="X487" s="37"/>
    </row>
    <row r="488" spans="1:24" ht="12.75">
      <c r="A488" s="39"/>
      <c r="B488" s="40"/>
      <c r="C488" s="39"/>
      <c r="D488" s="41">
        <v>5</v>
      </c>
      <c r="E488" s="39"/>
      <c r="F488" s="39"/>
      <c r="G488" s="45" t="s">
        <v>214</v>
      </c>
      <c r="H488" s="42">
        <f>H491</f>
        <v>300</v>
      </c>
      <c r="I488" s="42">
        <f>I491</f>
        <v>0</v>
      </c>
      <c r="J488" s="42">
        <f>J489+J491</f>
        <v>30085</v>
      </c>
      <c r="K488" s="42"/>
      <c r="L488" s="42"/>
      <c r="M488" s="42"/>
      <c r="N488" s="42">
        <f>N491+N489</f>
        <v>0</v>
      </c>
      <c r="O488" s="42"/>
      <c r="P488" s="42"/>
      <c r="Q488" s="42">
        <f>Q491+Q489</f>
        <v>0</v>
      </c>
      <c r="R488" s="35" t="e">
        <f t="shared" si="98"/>
        <v>#DIV/0!</v>
      </c>
      <c r="S488" s="42"/>
      <c r="T488" s="47"/>
      <c r="U488" s="35"/>
      <c r="V488" s="61"/>
      <c r="W488" s="37"/>
      <c r="X488" s="37"/>
    </row>
    <row r="489" spans="1:24" ht="25.5">
      <c r="A489" s="39"/>
      <c r="B489" s="40"/>
      <c r="C489" s="39"/>
      <c r="D489" s="41"/>
      <c r="E489" s="41">
        <v>11</v>
      </c>
      <c r="F489" s="39"/>
      <c r="G489" s="45" t="s">
        <v>105</v>
      </c>
      <c r="H489" s="42"/>
      <c r="I489" s="42"/>
      <c r="J489" s="42">
        <f>J490</f>
        <v>0</v>
      </c>
      <c r="K489" s="42"/>
      <c r="L489" s="42"/>
      <c r="M489" s="42"/>
      <c r="N489" s="42">
        <f>N490</f>
        <v>0</v>
      </c>
      <c r="O489" s="42"/>
      <c r="P489" s="42"/>
      <c r="Q489" s="42">
        <f>Q490</f>
        <v>0</v>
      </c>
      <c r="R489" s="35" t="e">
        <f t="shared" si="98"/>
        <v>#DIV/0!</v>
      </c>
      <c r="S489" s="42"/>
      <c r="T489" s="47"/>
      <c r="U489" s="35"/>
      <c r="V489" s="61"/>
      <c r="W489" s="37"/>
      <c r="X489" s="37"/>
    </row>
    <row r="490" spans="1:24" ht="12.75">
      <c r="A490" s="39"/>
      <c r="B490" s="40"/>
      <c r="C490" s="39"/>
      <c r="D490" s="41"/>
      <c r="E490" s="41"/>
      <c r="F490" s="39">
        <v>421</v>
      </c>
      <c r="G490" s="39" t="s">
        <v>152</v>
      </c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35" t="e">
        <f t="shared" si="98"/>
        <v>#DIV/0!</v>
      </c>
      <c r="S490" s="42"/>
      <c r="T490" s="47"/>
      <c r="U490" s="35"/>
      <c r="V490" s="61"/>
      <c r="W490" s="37"/>
      <c r="X490" s="37"/>
    </row>
    <row r="491" spans="1:24" ht="12.75">
      <c r="A491" s="39"/>
      <c r="B491" s="40"/>
      <c r="C491" s="39"/>
      <c r="D491" s="41"/>
      <c r="E491" s="51" t="s">
        <v>106</v>
      </c>
      <c r="F491" s="51"/>
      <c r="G491" s="51" t="s">
        <v>107</v>
      </c>
      <c r="H491" s="42">
        <f>H492</f>
        <v>300</v>
      </c>
      <c r="I491" s="42">
        <f>I492</f>
        <v>0</v>
      </c>
      <c r="J491" s="42">
        <f>J492</f>
        <v>30085</v>
      </c>
      <c r="K491" s="42"/>
      <c r="L491" s="42"/>
      <c r="M491" s="42"/>
      <c r="N491" s="42">
        <f>N492</f>
        <v>0</v>
      </c>
      <c r="O491" s="42"/>
      <c r="P491" s="42"/>
      <c r="Q491" s="42"/>
      <c r="R491" s="35" t="e">
        <f t="shared" si="98"/>
        <v>#DIV/0!</v>
      </c>
      <c r="S491" s="42"/>
      <c r="T491" s="47"/>
      <c r="U491" s="35"/>
      <c r="V491" s="61"/>
      <c r="W491" s="37"/>
      <c r="X491" s="37"/>
    </row>
    <row r="492" spans="1:24" ht="12.75">
      <c r="A492" s="39"/>
      <c r="B492" s="40"/>
      <c r="C492" s="39"/>
      <c r="D492" s="41"/>
      <c r="E492" s="39"/>
      <c r="F492" s="39">
        <v>421</v>
      </c>
      <c r="G492" s="39" t="s">
        <v>152</v>
      </c>
      <c r="H492" s="42">
        <v>300</v>
      </c>
      <c r="I492" s="42"/>
      <c r="J492" s="42">
        <v>30085</v>
      </c>
      <c r="K492" s="42"/>
      <c r="L492" s="42"/>
      <c r="M492" s="42"/>
      <c r="N492" s="42"/>
      <c r="O492" s="42"/>
      <c r="P492" s="42"/>
      <c r="Q492" s="42"/>
      <c r="R492" s="35" t="e">
        <f t="shared" si="98"/>
        <v>#DIV/0!</v>
      </c>
      <c r="S492" s="42"/>
      <c r="T492" s="47"/>
      <c r="U492" s="35"/>
      <c r="V492" s="61"/>
      <c r="W492" s="37"/>
      <c r="X492" s="37"/>
    </row>
    <row r="493" spans="1:24" ht="25.5">
      <c r="A493" s="39"/>
      <c r="B493" s="40"/>
      <c r="C493" s="39"/>
      <c r="D493" s="41">
        <v>6</v>
      </c>
      <c r="E493" s="39"/>
      <c r="F493" s="39"/>
      <c r="G493" s="45" t="s">
        <v>215</v>
      </c>
      <c r="H493" s="42">
        <f>H495</f>
        <v>3000</v>
      </c>
      <c r="I493" s="42">
        <f>I495</f>
        <v>0</v>
      </c>
      <c r="J493" s="42">
        <f>J494</f>
        <v>0</v>
      </c>
      <c r="K493" s="42"/>
      <c r="L493" s="42"/>
      <c r="M493" s="42"/>
      <c r="N493" s="42">
        <f>N495</f>
        <v>0</v>
      </c>
      <c r="O493" s="42"/>
      <c r="P493" s="42"/>
      <c r="Q493" s="42">
        <v>653465</v>
      </c>
      <c r="R493" s="35" t="e">
        <f t="shared" si="98"/>
        <v>#DIV/0!</v>
      </c>
      <c r="S493" s="42"/>
      <c r="T493" s="47"/>
      <c r="U493" s="35"/>
      <c r="V493" s="61"/>
      <c r="W493" s="37"/>
      <c r="X493" s="37"/>
    </row>
    <row r="494" spans="1:24" ht="25.5">
      <c r="A494" s="39"/>
      <c r="B494" s="40"/>
      <c r="C494" s="39"/>
      <c r="D494" s="41"/>
      <c r="E494" s="41">
        <v>11</v>
      </c>
      <c r="F494" s="39"/>
      <c r="G494" s="45" t="s">
        <v>105</v>
      </c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35" t="e">
        <f t="shared" si="98"/>
        <v>#DIV/0!</v>
      </c>
      <c r="S494" s="42"/>
      <c r="T494" s="47"/>
      <c r="U494" s="35"/>
      <c r="V494" s="61"/>
      <c r="W494" s="37"/>
      <c r="X494" s="37"/>
    </row>
    <row r="495" spans="1:24" ht="25.5">
      <c r="A495" s="39"/>
      <c r="B495" s="40"/>
      <c r="C495" s="39"/>
      <c r="D495" s="41"/>
      <c r="E495" s="39" t="s">
        <v>106</v>
      </c>
      <c r="F495" s="39"/>
      <c r="G495" s="39" t="s">
        <v>216</v>
      </c>
      <c r="H495" s="42">
        <f>H496</f>
        <v>3000</v>
      </c>
      <c r="I495" s="42">
        <f>I496</f>
        <v>0</v>
      </c>
      <c r="J495" s="42">
        <f>J496</f>
        <v>0</v>
      </c>
      <c r="K495" s="42"/>
      <c r="L495" s="42"/>
      <c r="M495" s="42"/>
      <c r="N495" s="42">
        <f>N496</f>
        <v>0</v>
      </c>
      <c r="O495" s="42"/>
      <c r="P495" s="42"/>
      <c r="Q495" s="42"/>
      <c r="R495" s="35" t="e">
        <f t="shared" si="98"/>
        <v>#DIV/0!</v>
      </c>
      <c r="S495" s="42"/>
      <c r="T495" s="47"/>
      <c r="U495" s="35"/>
      <c r="V495" s="61"/>
      <c r="W495" s="37"/>
      <c r="X495" s="37"/>
    </row>
    <row r="496" spans="1:24" ht="12.75">
      <c r="A496" s="39"/>
      <c r="B496" s="40"/>
      <c r="C496" s="39"/>
      <c r="D496" s="41"/>
      <c r="E496" s="39"/>
      <c r="F496" s="39">
        <v>421</v>
      </c>
      <c r="G496" s="39" t="s">
        <v>152</v>
      </c>
      <c r="H496" s="42">
        <v>3000</v>
      </c>
      <c r="I496" s="42"/>
      <c r="J496" s="42">
        <f>I496+(I496*0.075)</f>
        <v>0</v>
      </c>
      <c r="K496" s="42"/>
      <c r="L496" s="42"/>
      <c r="M496" s="42"/>
      <c r="N496" s="42"/>
      <c r="O496" s="42"/>
      <c r="P496" s="42"/>
      <c r="Q496" s="42"/>
      <c r="R496" s="35" t="e">
        <f t="shared" si="98"/>
        <v>#DIV/0!</v>
      </c>
      <c r="S496" s="42"/>
      <c r="T496" s="47"/>
      <c r="U496" s="35"/>
      <c r="V496" s="61"/>
      <c r="W496" s="37"/>
      <c r="X496" s="37"/>
    </row>
    <row r="497" spans="1:24" ht="38.25">
      <c r="A497" s="39"/>
      <c r="B497" s="40"/>
      <c r="C497" s="39">
        <v>458</v>
      </c>
      <c r="D497" s="41"/>
      <c r="E497" s="39"/>
      <c r="F497" s="39"/>
      <c r="G497" s="39" t="s">
        <v>97</v>
      </c>
      <c r="H497" s="42"/>
      <c r="I497" s="42">
        <f>I500+I498</f>
        <v>0</v>
      </c>
      <c r="J497" s="42"/>
      <c r="K497" s="42"/>
      <c r="L497" s="42"/>
      <c r="M497" s="42"/>
      <c r="N497" s="42"/>
      <c r="O497" s="42"/>
      <c r="P497" s="42"/>
      <c r="Q497" s="42"/>
      <c r="R497" s="35" t="e">
        <f t="shared" si="98"/>
        <v>#DIV/0!</v>
      </c>
      <c r="S497" s="42"/>
      <c r="T497" s="47"/>
      <c r="U497" s="35"/>
      <c r="V497" s="61"/>
      <c r="W497" s="37"/>
      <c r="X497" s="37"/>
    </row>
    <row r="498" spans="1:24" ht="63.75">
      <c r="A498" s="39"/>
      <c r="B498" s="40"/>
      <c r="C498" s="39"/>
      <c r="D498" s="41">
        <v>30</v>
      </c>
      <c r="E498" s="39"/>
      <c r="F498" s="39"/>
      <c r="G498" s="45" t="s">
        <v>217</v>
      </c>
      <c r="H498" s="42"/>
      <c r="I498" s="42">
        <f>I499</f>
        <v>0</v>
      </c>
      <c r="J498" s="42"/>
      <c r="K498" s="42"/>
      <c r="L498" s="42"/>
      <c r="M498" s="42"/>
      <c r="N498" s="42"/>
      <c r="O498" s="42"/>
      <c r="P498" s="42"/>
      <c r="Q498" s="42"/>
      <c r="R498" s="35" t="e">
        <f t="shared" si="98"/>
        <v>#DIV/0!</v>
      </c>
      <c r="S498" s="42"/>
      <c r="T498" s="47"/>
      <c r="U498" s="35"/>
      <c r="V498" s="61"/>
      <c r="W498" s="37"/>
      <c r="X498" s="37"/>
    </row>
    <row r="499" spans="1:24" ht="12.75">
      <c r="A499" s="39"/>
      <c r="B499" s="40"/>
      <c r="C499" s="39"/>
      <c r="D499" s="41"/>
      <c r="E499" s="39">
        <v>27</v>
      </c>
      <c r="F499" s="39"/>
      <c r="G499" s="39" t="s">
        <v>105</v>
      </c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35" t="e">
        <f t="shared" si="98"/>
        <v>#DIV/0!</v>
      </c>
      <c r="S499" s="42"/>
      <c r="T499" s="47"/>
      <c r="U499" s="35"/>
      <c r="V499" s="61"/>
      <c r="W499" s="37"/>
      <c r="X499" s="37"/>
    </row>
    <row r="500" spans="1:24" ht="63.75">
      <c r="A500" s="39"/>
      <c r="B500" s="40"/>
      <c r="C500" s="39"/>
      <c r="D500" s="41">
        <v>32</v>
      </c>
      <c r="E500" s="39"/>
      <c r="F500" s="39"/>
      <c r="G500" s="45" t="s">
        <v>218</v>
      </c>
      <c r="H500" s="42"/>
      <c r="I500" s="42">
        <f>I501</f>
        <v>0</v>
      </c>
      <c r="J500" s="42"/>
      <c r="K500" s="42"/>
      <c r="L500" s="42"/>
      <c r="M500" s="42"/>
      <c r="N500" s="42"/>
      <c r="O500" s="42"/>
      <c r="P500" s="42"/>
      <c r="Q500" s="42"/>
      <c r="R500" s="35" t="e">
        <f t="shared" si="98"/>
        <v>#DIV/0!</v>
      </c>
      <c r="S500" s="42"/>
      <c r="T500" s="47"/>
      <c r="U500" s="35"/>
      <c r="V500" s="61"/>
      <c r="W500" s="37"/>
      <c r="X500" s="37"/>
    </row>
    <row r="501" spans="1:24" ht="12.75">
      <c r="A501" s="39"/>
      <c r="B501" s="40"/>
      <c r="C501" s="39"/>
      <c r="D501" s="41"/>
      <c r="E501" s="39">
        <v>27</v>
      </c>
      <c r="F501" s="39"/>
      <c r="G501" s="39" t="s">
        <v>105</v>
      </c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35" t="e">
        <f t="shared" si="98"/>
        <v>#DIV/0!</v>
      </c>
      <c r="S501" s="42"/>
      <c r="T501" s="47"/>
      <c r="U501" s="35"/>
      <c r="V501" s="61"/>
      <c r="W501" s="37"/>
      <c r="X501" s="37"/>
    </row>
    <row r="502" spans="1:24" ht="12.75">
      <c r="A502" s="39"/>
      <c r="B502" s="40"/>
      <c r="C502" s="39">
        <v>467</v>
      </c>
      <c r="D502" s="41"/>
      <c r="E502" s="39"/>
      <c r="F502" s="39"/>
      <c r="G502" s="31" t="s">
        <v>149</v>
      </c>
      <c r="H502" s="42"/>
      <c r="I502" s="42">
        <f>I503</f>
        <v>0</v>
      </c>
      <c r="J502" s="42"/>
      <c r="K502" s="42"/>
      <c r="L502" s="42"/>
      <c r="M502" s="42"/>
      <c r="N502" s="42"/>
      <c r="O502" s="42"/>
      <c r="P502" s="42"/>
      <c r="Q502" s="42"/>
      <c r="R502" s="35" t="e">
        <f t="shared" si="98"/>
        <v>#DIV/0!</v>
      </c>
      <c r="S502" s="42"/>
      <c r="T502" s="47"/>
      <c r="U502" s="35"/>
      <c r="V502" s="61"/>
      <c r="W502" s="37"/>
      <c r="X502" s="37"/>
    </row>
    <row r="503" spans="1:24" ht="63.75">
      <c r="A503" s="39"/>
      <c r="B503" s="40"/>
      <c r="C503" s="39"/>
      <c r="D503" s="41">
        <v>31</v>
      </c>
      <c r="E503" s="39"/>
      <c r="F503" s="39"/>
      <c r="G503" s="45" t="s">
        <v>218</v>
      </c>
      <c r="H503" s="42"/>
      <c r="I503" s="42">
        <f>I504</f>
        <v>0</v>
      </c>
      <c r="J503" s="42"/>
      <c r="K503" s="42"/>
      <c r="L503" s="42"/>
      <c r="M503" s="42"/>
      <c r="N503" s="42"/>
      <c r="O503" s="42"/>
      <c r="P503" s="42"/>
      <c r="Q503" s="42"/>
      <c r="R503" s="35" t="e">
        <f t="shared" si="98"/>
        <v>#DIV/0!</v>
      </c>
      <c r="S503" s="42"/>
      <c r="T503" s="47"/>
      <c r="U503" s="35"/>
      <c r="V503" s="61"/>
      <c r="W503" s="37"/>
      <c r="X503" s="37"/>
    </row>
    <row r="504" spans="1:24" ht="12.75">
      <c r="A504" s="39"/>
      <c r="B504" s="40"/>
      <c r="C504" s="39"/>
      <c r="D504" s="41"/>
      <c r="E504" s="39">
        <v>27</v>
      </c>
      <c r="F504" s="39"/>
      <c r="G504" s="39" t="s">
        <v>105</v>
      </c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35" t="e">
        <f t="shared" si="98"/>
        <v>#DIV/0!</v>
      </c>
      <c r="S504" s="42"/>
      <c r="T504" s="47"/>
      <c r="U504" s="35"/>
      <c r="V504" s="61"/>
      <c r="W504" s="37"/>
      <c r="X504" s="37"/>
    </row>
    <row r="505" spans="1:24" ht="25.5">
      <c r="A505" s="39"/>
      <c r="B505" s="40" t="s">
        <v>219</v>
      </c>
      <c r="C505" s="39"/>
      <c r="D505" s="41"/>
      <c r="E505" s="39"/>
      <c r="F505" s="39"/>
      <c r="G505" s="39" t="s">
        <v>220</v>
      </c>
      <c r="H505" s="42">
        <f>H506</f>
        <v>1342100</v>
      </c>
      <c r="I505" s="42">
        <f>I506</f>
        <v>1124287.52</v>
      </c>
      <c r="J505" s="42">
        <f>J506+J519</f>
        <v>1335416.7464</v>
      </c>
      <c r="K505" s="42"/>
      <c r="L505" s="42"/>
      <c r="M505" s="42"/>
      <c r="N505" s="42">
        <f>N506</f>
        <v>1341205.158648</v>
      </c>
      <c r="O505" s="42"/>
      <c r="P505" s="42"/>
      <c r="Q505" s="42">
        <f>Q506</f>
        <v>1173202.928</v>
      </c>
      <c r="R505" s="35">
        <f t="shared" si="98"/>
        <v>87.47378582875758</v>
      </c>
      <c r="S505" s="42"/>
      <c r="T505" s="42">
        <f>T506</f>
        <v>1674733.9622400003</v>
      </c>
      <c r="U505" s="42">
        <f>U506</f>
        <v>2120371.9592192</v>
      </c>
      <c r="V505" s="61"/>
      <c r="W505" s="37">
        <f>J505/I505*100</f>
        <v>118.77893533853334</v>
      </c>
      <c r="X505" s="37">
        <f>N505/J505*100</f>
        <v>100.43345362139604</v>
      </c>
    </row>
    <row r="506" spans="1:24" ht="38.25">
      <c r="A506" s="39"/>
      <c r="B506" s="40"/>
      <c r="C506" s="39">
        <v>458</v>
      </c>
      <c r="D506" s="41"/>
      <c r="E506" s="39"/>
      <c r="F506" s="39"/>
      <c r="G506" s="39" t="s">
        <v>97</v>
      </c>
      <c r="H506" s="42">
        <f aca="true" t="shared" si="100" ref="H506:U506">H507+H511+H514+H516</f>
        <v>1342100</v>
      </c>
      <c r="I506" s="42">
        <f t="shared" si="100"/>
        <v>1124287.52</v>
      </c>
      <c r="J506" s="42">
        <f t="shared" si="100"/>
        <v>1227358.7464</v>
      </c>
      <c r="K506" s="42"/>
      <c r="L506" s="42"/>
      <c r="M506" s="42"/>
      <c r="N506" s="42">
        <f t="shared" si="100"/>
        <v>1341205.158648</v>
      </c>
      <c r="O506" s="42"/>
      <c r="P506" s="42"/>
      <c r="Q506" s="42">
        <f t="shared" si="100"/>
        <v>1173202.928</v>
      </c>
      <c r="R506" s="35">
        <f t="shared" si="98"/>
        <v>87.47378582875758</v>
      </c>
      <c r="S506" s="42"/>
      <c r="T506" s="42">
        <f t="shared" si="100"/>
        <v>1674733.9622400003</v>
      </c>
      <c r="U506" s="42">
        <f t="shared" si="100"/>
        <v>2120371.9592192</v>
      </c>
      <c r="V506" s="61"/>
      <c r="W506" s="37">
        <f>J506/I506*100</f>
        <v>109.16769283359118</v>
      </c>
      <c r="X506" s="37">
        <f>N506/J506*100</f>
        <v>109.27572419897002</v>
      </c>
    </row>
    <row r="507" spans="1:24" ht="12.75">
      <c r="A507" s="39"/>
      <c r="B507" s="40"/>
      <c r="C507" s="39"/>
      <c r="D507" s="41">
        <v>15</v>
      </c>
      <c r="E507" s="39" t="s">
        <v>67</v>
      </c>
      <c r="F507" s="39"/>
      <c r="G507" s="45" t="s">
        <v>221</v>
      </c>
      <c r="H507" s="42">
        <f>H508+H509+H510</f>
        <v>152480</v>
      </c>
      <c r="I507" s="42">
        <f>I508+I509+I510</f>
        <v>146000</v>
      </c>
      <c r="J507" s="42">
        <f>J508+J509+J510</f>
        <v>157420</v>
      </c>
      <c r="K507" s="42"/>
      <c r="L507" s="42">
        <v>167155</v>
      </c>
      <c r="M507" s="42"/>
      <c r="N507" s="42">
        <f>N508+N509+N510</f>
        <v>168439.4</v>
      </c>
      <c r="O507" s="42"/>
      <c r="P507" s="42"/>
      <c r="Q507" s="42">
        <f>Q508+Q509+Q510+25000+25000</f>
        <v>230230.158</v>
      </c>
      <c r="R507" s="35">
        <f t="shared" si="98"/>
        <v>136.6842662702432</v>
      </c>
      <c r="S507" s="42"/>
      <c r="T507" s="42">
        <f>T508+T509+T510-50000+57351+33200</f>
        <v>235199.57064000002</v>
      </c>
      <c r="U507" s="42">
        <f>U508+U509+U510-38227-17390+58498+27351+100000</f>
        <v>340452.4562912</v>
      </c>
      <c r="V507" s="61"/>
      <c r="W507" s="37">
        <f>J507/I507*100</f>
        <v>107.82191780821917</v>
      </c>
      <c r="X507" s="37">
        <f>N507/J507*100</f>
        <v>107</v>
      </c>
    </row>
    <row r="508" spans="1:24" ht="12.75">
      <c r="A508" s="39"/>
      <c r="B508" s="40"/>
      <c r="C508" s="39"/>
      <c r="D508" s="41"/>
      <c r="E508" s="39"/>
      <c r="F508" s="39">
        <v>149</v>
      </c>
      <c r="G508" s="39" t="s">
        <v>43</v>
      </c>
      <c r="H508" s="42">
        <v>152480</v>
      </c>
      <c r="I508" s="42">
        <v>146000</v>
      </c>
      <c r="J508" s="42">
        <v>157420</v>
      </c>
      <c r="K508" s="42"/>
      <c r="L508" s="42"/>
      <c r="M508" s="42"/>
      <c r="N508" s="42">
        <f>J508+(J508*0.07)</f>
        <v>168439.4</v>
      </c>
      <c r="O508" s="42"/>
      <c r="P508" s="42"/>
      <c r="Q508" s="42">
        <f>N508+(N508*0.07)</f>
        <v>180230.158</v>
      </c>
      <c r="R508" s="35">
        <f t="shared" si="98"/>
        <v>107</v>
      </c>
      <c r="S508" s="42"/>
      <c r="T508" s="47">
        <f>Q508*1.08</f>
        <v>194648.57064000002</v>
      </c>
      <c r="U508" s="47">
        <f>T508*1.08</f>
        <v>210220.45629120004</v>
      </c>
      <c r="V508" s="61"/>
      <c r="W508" s="37">
        <f>J508/I508*100</f>
        <v>107.82191780821917</v>
      </c>
      <c r="X508" s="37">
        <f>N508/J508*100</f>
        <v>107</v>
      </c>
    </row>
    <row r="509" spans="1:24" ht="12.75">
      <c r="A509" s="39"/>
      <c r="B509" s="40"/>
      <c r="C509" s="39"/>
      <c r="D509" s="41"/>
      <c r="E509" s="39"/>
      <c r="F509" s="39">
        <v>421</v>
      </c>
      <c r="G509" s="39" t="s">
        <v>152</v>
      </c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35" t="e">
        <f t="shared" si="98"/>
        <v>#DIV/0!</v>
      </c>
      <c r="S509" s="42"/>
      <c r="T509" s="47">
        <f>Q509*1.07</f>
        <v>0</v>
      </c>
      <c r="U509" s="35"/>
      <c r="V509" s="61"/>
      <c r="W509" s="37"/>
      <c r="X509" s="37"/>
    </row>
    <row r="510" spans="1:24" ht="25.5">
      <c r="A510" s="39"/>
      <c r="B510" s="40"/>
      <c r="C510" s="39"/>
      <c r="D510" s="41"/>
      <c r="E510" s="39"/>
      <c r="F510" s="39">
        <v>431</v>
      </c>
      <c r="G510" s="39" t="s">
        <v>113</v>
      </c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35" t="e">
        <f t="shared" si="98"/>
        <v>#DIV/0!</v>
      </c>
      <c r="S510" s="42"/>
      <c r="T510" s="47">
        <f>Q510*1.07</f>
        <v>0</v>
      </c>
      <c r="U510" s="35"/>
      <c r="V510" s="46"/>
      <c r="W510" s="37"/>
      <c r="X510" s="37"/>
    </row>
    <row r="511" spans="1:24" ht="25.5">
      <c r="A511" s="39"/>
      <c r="B511" s="40"/>
      <c r="C511" s="39"/>
      <c r="D511" s="41">
        <v>16</v>
      </c>
      <c r="E511" s="39" t="s">
        <v>67</v>
      </c>
      <c r="F511" s="39"/>
      <c r="G511" s="45" t="s">
        <v>222</v>
      </c>
      <c r="H511" s="42">
        <f>H512+H513</f>
        <v>700250</v>
      </c>
      <c r="I511" s="42">
        <f>I512+I513</f>
        <v>734270</v>
      </c>
      <c r="J511" s="42">
        <f>J512+J513</f>
        <v>765970</v>
      </c>
      <c r="K511" s="42">
        <f>K512+K513</f>
        <v>0</v>
      </c>
      <c r="L511" s="42">
        <f>L512+L513</f>
        <v>0</v>
      </c>
      <c r="M511" s="42">
        <f>M512+M513</f>
        <v>0</v>
      </c>
      <c r="N511" s="42">
        <f>N512</f>
        <v>821088</v>
      </c>
      <c r="O511" s="42">
        <f>O512</f>
        <v>0</v>
      </c>
      <c r="P511" s="42"/>
      <c r="Q511" s="42">
        <f>Q512-196385+30000+65000+46000-60000+134600</f>
        <v>897779.16</v>
      </c>
      <c r="R511" s="35">
        <f t="shared" si="98"/>
        <v>109.34018765345492</v>
      </c>
      <c r="S511" s="42"/>
      <c r="T511" s="42">
        <f>T512-258092-50000+460000+160000</f>
        <v>1260757.2928</v>
      </c>
      <c r="U511" s="42">
        <f>U512-200000-70000+469200+236083-100000+190240</f>
        <v>1550280.236224</v>
      </c>
      <c r="V511" s="46" t="s">
        <v>223</v>
      </c>
      <c r="W511" s="37">
        <f>J511/I511*100</f>
        <v>104.3172130142863</v>
      </c>
      <c r="X511" s="37">
        <f>N511/J511*100</f>
        <v>107.19584317923679</v>
      </c>
    </row>
    <row r="512" spans="1:24" ht="38.25">
      <c r="A512" s="39"/>
      <c r="B512" s="40"/>
      <c r="C512" s="39"/>
      <c r="D512" s="41"/>
      <c r="E512" s="39"/>
      <c r="F512" s="39">
        <v>149</v>
      </c>
      <c r="G512" s="39" t="s">
        <v>43</v>
      </c>
      <c r="H512" s="42">
        <v>700250</v>
      </c>
      <c r="I512" s="42">
        <f>744270-10000</f>
        <v>734270</v>
      </c>
      <c r="J512" s="42">
        <v>765970</v>
      </c>
      <c r="K512" s="42"/>
      <c r="L512" s="42"/>
      <c r="M512" s="42"/>
      <c r="N512" s="42">
        <v>821088</v>
      </c>
      <c r="O512" s="42"/>
      <c r="P512" s="42"/>
      <c r="Q512" s="42">
        <f>N512*1.07</f>
        <v>878564.16</v>
      </c>
      <c r="R512" s="35">
        <f t="shared" si="98"/>
        <v>107</v>
      </c>
      <c r="S512" s="42"/>
      <c r="T512" s="47">
        <f>Q512*1.08</f>
        <v>948849.2928</v>
      </c>
      <c r="U512" s="47">
        <f>T512*1.08</f>
        <v>1024757.2362240001</v>
      </c>
      <c r="V512" s="46" t="s">
        <v>224</v>
      </c>
      <c r="W512" s="37">
        <f>J512/I512*100</f>
        <v>104.3172130142863</v>
      </c>
      <c r="X512" s="37">
        <f>N512/J512*100</f>
        <v>107.19584317923679</v>
      </c>
    </row>
    <row r="513" spans="1:24" ht="25.5">
      <c r="A513" s="39"/>
      <c r="B513" s="40"/>
      <c r="C513" s="39"/>
      <c r="D513" s="41"/>
      <c r="E513" s="39"/>
      <c r="F513" s="39">
        <v>411</v>
      </c>
      <c r="G513" s="39" t="s">
        <v>49</v>
      </c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35" t="e">
        <f t="shared" si="98"/>
        <v>#DIV/0!</v>
      </c>
      <c r="S513" s="42"/>
      <c r="T513" s="47">
        <f>Q513*1.07</f>
        <v>0</v>
      </c>
      <c r="U513" s="35"/>
      <c r="V513" s="46"/>
      <c r="W513" s="37"/>
      <c r="X513" s="37"/>
    </row>
    <row r="514" spans="1:24" ht="25.5">
      <c r="A514" s="39"/>
      <c r="B514" s="40"/>
      <c r="C514" s="39"/>
      <c r="D514" s="41">
        <v>17</v>
      </c>
      <c r="E514" s="39" t="s">
        <v>67</v>
      </c>
      <c r="F514" s="39"/>
      <c r="G514" s="45" t="s">
        <v>225</v>
      </c>
      <c r="H514" s="42">
        <f>H515</f>
        <v>2794</v>
      </c>
      <c r="I514" s="42">
        <f>I515</f>
        <v>3017.52</v>
      </c>
      <c r="J514" s="42">
        <f>J515</f>
        <v>3228.7464</v>
      </c>
      <c r="K514" s="42"/>
      <c r="L514" s="42"/>
      <c r="M514" s="42"/>
      <c r="N514" s="42">
        <f>N515</f>
        <v>3454.758648</v>
      </c>
      <c r="O514" s="42"/>
      <c r="P514" s="42"/>
      <c r="Q514" s="42">
        <f>Q515</f>
        <v>2195</v>
      </c>
      <c r="R514" s="35">
        <f t="shared" si="98"/>
        <v>63.53555265780175</v>
      </c>
      <c r="S514" s="42"/>
      <c r="T514" s="42">
        <f>T515</f>
        <v>2370.6000000000004</v>
      </c>
      <c r="U514" s="42">
        <f>U515</f>
        <v>2560.2480000000005</v>
      </c>
      <c r="V514" s="61"/>
      <c r="W514" s="37">
        <f>J514/I514*100</f>
        <v>107</v>
      </c>
      <c r="X514" s="37">
        <f>N514/J514*100</f>
        <v>107</v>
      </c>
    </row>
    <row r="515" spans="1:24" ht="12.75">
      <c r="A515" s="39"/>
      <c r="B515" s="40"/>
      <c r="C515" s="39"/>
      <c r="D515" s="41"/>
      <c r="E515" s="39"/>
      <c r="F515" s="39">
        <v>149</v>
      </c>
      <c r="G515" s="39" t="s">
        <v>43</v>
      </c>
      <c r="H515" s="42">
        <v>2794</v>
      </c>
      <c r="I515" s="42">
        <f>H515+(H515*0.08)</f>
        <v>3017.52</v>
      </c>
      <c r="J515" s="42">
        <f>I515+(I515*0.07)</f>
        <v>3228.7464</v>
      </c>
      <c r="K515" s="42"/>
      <c r="L515" s="42"/>
      <c r="M515" s="42"/>
      <c r="N515" s="42">
        <f>J515+(J515*0.07)</f>
        <v>3454.758648</v>
      </c>
      <c r="O515" s="42"/>
      <c r="P515" s="42"/>
      <c r="Q515" s="42">
        <v>2195</v>
      </c>
      <c r="R515" s="35">
        <f t="shared" si="98"/>
        <v>63.53555265780175</v>
      </c>
      <c r="S515" s="42"/>
      <c r="T515" s="47">
        <f>Q515*1.08</f>
        <v>2370.6000000000004</v>
      </c>
      <c r="U515" s="47">
        <f>T515*1.08</f>
        <v>2560.2480000000005</v>
      </c>
      <c r="V515" s="61"/>
      <c r="W515" s="37">
        <f>J515/I515*100</f>
        <v>107</v>
      </c>
      <c r="X515" s="37">
        <f>N515/J515*100</f>
        <v>107</v>
      </c>
    </row>
    <row r="516" spans="1:24" ht="25.5">
      <c r="A516" s="39"/>
      <c r="B516" s="40"/>
      <c r="C516" s="39"/>
      <c r="D516" s="41">
        <v>18</v>
      </c>
      <c r="E516" s="39" t="s">
        <v>67</v>
      </c>
      <c r="F516" s="39"/>
      <c r="G516" s="45" t="s">
        <v>226</v>
      </c>
      <c r="H516" s="42">
        <f>H517+H518</f>
        <v>486576</v>
      </c>
      <c r="I516" s="42">
        <f>I517+I518</f>
        <v>241000</v>
      </c>
      <c r="J516" s="42">
        <f>J517+J518</f>
        <v>300740</v>
      </c>
      <c r="K516" s="42">
        <f>K517+K518</f>
        <v>0</v>
      </c>
      <c r="L516" s="42">
        <f>L517+L518</f>
        <v>0</v>
      </c>
      <c r="M516" s="42">
        <f>M517+M518</f>
        <v>0</v>
      </c>
      <c r="N516" s="42">
        <f>N517+N518</f>
        <v>348223</v>
      </c>
      <c r="O516" s="42"/>
      <c r="P516" s="42"/>
      <c r="Q516" s="42">
        <f>Q517+Q518+43000-38000-134600</f>
        <v>42998.610000000044</v>
      </c>
      <c r="R516" s="35">
        <f t="shared" si="98"/>
        <v>12.348009752371338</v>
      </c>
      <c r="S516" s="42"/>
      <c r="T516" s="42">
        <f>T517+T518-50000+200000-160000</f>
        <v>176406.49880000006</v>
      </c>
      <c r="U516" s="42">
        <f>U517+U518-100000+12000+204000+100000-190240</f>
        <v>227079.01870400005</v>
      </c>
      <c r="V516" s="46" t="s">
        <v>227</v>
      </c>
      <c r="W516" s="37">
        <f>J516/I516*100</f>
        <v>124.78838174273858</v>
      </c>
      <c r="X516" s="37">
        <f>N516/J516*100</f>
        <v>115.7887211544856</v>
      </c>
    </row>
    <row r="517" spans="1:24" ht="12.75">
      <c r="A517" s="39"/>
      <c r="B517" s="40"/>
      <c r="C517" s="39"/>
      <c r="D517" s="41"/>
      <c r="E517" s="39"/>
      <c r="F517" s="39">
        <v>139</v>
      </c>
      <c r="G517" s="39" t="s">
        <v>39</v>
      </c>
      <c r="H517" s="42"/>
      <c r="I517" s="42"/>
      <c r="J517" s="42"/>
      <c r="K517" s="42"/>
      <c r="L517" s="42"/>
      <c r="M517" s="42"/>
      <c r="N517" s="42">
        <v>6000</v>
      </c>
      <c r="O517" s="42"/>
      <c r="P517" s="42"/>
      <c r="Q517" s="42">
        <f>N517*1.07</f>
        <v>6420</v>
      </c>
      <c r="R517" s="35">
        <f t="shared" si="98"/>
        <v>107</v>
      </c>
      <c r="S517" s="42"/>
      <c r="T517" s="47">
        <f>Q517*1.08</f>
        <v>6933.6</v>
      </c>
      <c r="U517" s="47">
        <f>T517*1.08</f>
        <v>7488.2880000000005</v>
      </c>
      <c r="V517" s="61"/>
      <c r="W517" s="37"/>
      <c r="X517" s="37"/>
    </row>
    <row r="518" spans="1:24" ht="12.75">
      <c r="A518" s="39"/>
      <c r="B518" s="40"/>
      <c r="C518" s="39"/>
      <c r="D518" s="41"/>
      <c r="E518" s="39"/>
      <c r="F518" s="39">
        <v>149</v>
      </c>
      <c r="G518" s="39" t="s">
        <v>43</v>
      </c>
      <c r="H518" s="42">
        <v>486576</v>
      </c>
      <c r="I518" s="42">
        <v>241000</v>
      </c>
      <c r="J518" s="42">
        <v>300740</v>
      </c>
      <c r="K518" s="42"/>
      <c r="L518" s="42"/>
      <c r="M518" s="42"/>
      <c r="N518" s="42">
        <v>342223</v>
      </c>
      <c r="O518" s="42"/>
      <c r="P518" s="42"/>
      <c r="Q518" s="42">
        <f>N518*1.07-200000</f>
        <v>166178.61000000004</v>
      </c>
      <c r="R518" s="35">
        <f t="shared" si="98"/>
        <v>48.55857437986344</v>
      </c>
      <c r="S518" s="42"/>
      <c r="T518" s="47">
        <f>Q518*1.08</f>
        <v>179472.89880000005</v>
      </c>
      <c r="U518" s="47">
        <f>T518*1.08</f>
        <v>193830.73070400007</v>
      </c>
      <c r="V518" s="61"/>
      <c r="W518" s="37">
        <f>J518/I518*100</f>
        <v>124.78838174273858</v>
      </c>
      <c r="X518" s="37">
        <f>N518/J518*100</f>
        <v>113.79364234887277</v>
      </c>
    </row>
    <row r="519" spans="1:24" ht="12.75">
      <c r="A519" s="39"/>
      <c r="B519" s="40"/>
      <c r="C519" s="39">
        <v>467</v>
      </c>
      <c r="D519" s="41"/>
      <c r="E519" s="39"/>
      <c r="F519" s="39"/>
      <c r="G519" s="31" t="s">
        <v>149</v>
      </c>
      <c r="H519" s="42"/>
      <c r="I519" s="42"/>
      <c r="J519" s="42">
        <f>J520</f>
        <v>108058</v>
      </c>
      <c r="K519" s="42"/>
      <c r="L519" s="42"/>
      <c r="M519" s="42"/>
      <c r="N519" s="42"/>
      <c r="O519" s="42"/>
      <c r="P519" s="42"/>
      <c r="Q519" s="42"/>
      <c r="R519" s="35" t="e">
        <f t="shared" si="98"/>
        <v>#DIV/0!</v>
      </c>
      <c r="S519" s="42"/>
      <c r="T519" s="47"/>
      <c r="U519" s="35"/>
      <c r="V519" s="61"/>
      <c r="W519" s="37"/>
      <c r="X519" s="37"/>
    </row>
    <row r="520" spans="1:24" ht="25.5">
      <c r="A520" s="39"/>
      <c r="B520" s="40"/>
      <c r="C520" s="39"/>
      <c r="D520" s="41">
        <v>7</v>
      </c>
      <c r="E520" s="39"/>
      <c r="F520" s="39"/>
      <c r="G520" s="45" t="s">
        <v>228</v>
      </c>
      <c r="H520" s="42"/>
      <c r="I520" s="42"/>
      <c r="J520" s="42">
        <f>J521</f>
        <v>108058</v>
      </c>
      <c r="K520" s="42"/>
      <c r="L520" s="42"/>
      <c r="M520" s="42"/>
      <c r="N520" s="42"/>
      <c r="O520" s="42"/>
      <c r="P520" s="42"/>
      <c r="Q520" s="42"/>
      <c r="R520" s="35" t="e">
        <f t="shared" si="98"/>
        <v>#DIV/0!</v>
      </c>
      <c r="S520" s="42"/>
      <c r="T520" s="47"/>
      <c r="U520" s="35"/>
      <c r="V520" s="61"/>
      <c r="W520" s="37"/>
      <c r="X520" s="37"/>
    </row>
    <row r="521" spans="1:24" ht="12.75">
      <c r="A521" s="39"/>
      <c r="B521" s="40"/>
      <c r="C521" s="39"/>
      <c r="D521" s="41"/>
      <c r="E521" s="39" t="s">
        <v>106</v>
      </c>
      <c r="F521" s="39"/>
      <c r="G521" s="51" t="s">
        <v>107</v>
      </c>
      <c r="H521" s="42"/>
      <c r="I521" s="42"/>
      <c r="J521" s="42">
        <f>J522+J523</f>
        <v>108058</v>
      </c>
      <c r="K521" s="42"/>
      <c r="L521" s="42"/>
      <c r="M521" s="42"/>
      <c r="N521" s="42"/>
      <c r="O521" s="42"/>
      <c r="P521" s="42"/>
      <c r="Q521" s="42"/>
      <c r="R521" s="35" t="e">
        <f t="shared" si="98"/>
        <v>#DIV/0!</v>
      </c>
      <c r="S521" s="42"/>
      <c r="T521" s="47"/>
      <c r="U521" s="35"/>
      <c r="V521" s="61"/>
      <c r="W521" s="37"/>
      <c r="X521" s="37"/>
    </row>
    <row r="522" spans="1:24" ht="12.75">
      <c r="A522" s="39"/>
      <c r="B522" s="40"/>
      <c r="C522" s="39"/>
      <c r="D522" s="41"/>
      <c r="E522" s="39"/>
      <c r="F522" s="39">
        <v>149</v>
      </c>
      <c r="G522" s="39" t="s">
        <v>43</v>
      </c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35" t="e">
        <f t="shared" si="98"/>
        <v>#DIV/0!</v>
      </c>
      <c r="S522" s="42"/>
      <c r="T522" s="47"/>
      <c r="U522" s="35"/>
      <c r="V522" s="61"/>
      <c r="W522" s="37"/>
      <c r="X522" s="37"/>
    </row>
    <row r="523" spans="1:24" ht="12.75">
      <c r="A523" s="39"/>
      <c r="B523" s="40"/>
      <c r="C523" s="39"/>
      <c r="D523" s="41"/>
      <c r="E523" s="39"/>
      <c r="F523" s="39">
        <v>421</v>
      </c>
      <c r="G523" s="39" t="s">
        <v>152</v>
      </c>
      <c r="H523" s="42"/>
      <c r="I523" s="42"/>
      <c r="J523" s="42">
        <v>108058</v>
      </c>
      <c r="K523" s="42"/>
      <c r="L523" s="42"/>
      <c r="M523" s="42"/>
      <c r="N523" s="42"/>
      <c r="O523" s="42"/>
      <c r="P523" s="42"/>
      <c r="Q523" s="42"/>
      <c r="R523" s="35" t="e">
        <f aca="true" t="shared" si="101" ref="R523:R586">Q523/N523*100</f>
        <v>#DIV/0!</v>
      </c>
      <c r="S523" s="42"/>
      <c r="T523" s="47"/>
      <c r="U523" s="35"/>
      <c r="V523" s="61"/>
      <c r="W523" s="37"/>
      <c r="X523" s="37"/>
    </row>
    <row r="524" spans="1:24" ht="25.5">
      <c r="A524" s="39">
        <v>8</v>
      </c>
      <c r="B524" s="40"/>
      <c r="C524" s="39"/>
      <c r="D524" s="41"/>
      <c r="E524" s="39"/>
      <c r="F524" s="39"/>
      <c r="G524" s="34" t="s">
        <v>229</v>
      </c>
      <c r="H524" s="42" t="e">
        <f aca="true" t="shared" si="102" ref="H524:U524">H525+H557+H582+H610</f>
        <v>#REF!</v>
      </c>
      <c r="I524" s="42">
        <f t="shared" si="102"/>
        <v>333958.46199999994</v>
      </c>
      <c r="J524" s="42">
        <f t="shared" si="102"/>
        <v>562884.5686</v>
      </c>
      <c r="K524" s="42"/>
      <c r="L524" s="42"/>
      <c r="M524" s="42"/>
      <c r="N524" s="42">
        <f t="shared" si="102"/>
        <v>480110.03711199993</v>
      </c>
      <c r="O524" s="42"/>
      <c r="P524" s="42"/>
      <c r="Q524" s="42">
        <f t="shared" si="102"/>
        <v>478983.20178983995</v>
      </c>
      <c r="R524" s="35">
        <f t="shared" si="101"/>
        <v>99.76529644559439</v>
      </c>
      <c r="S524" s="42"/>
      <c r="T524" s="42">
        <f t="shared" si="102"/>
        <v>625250.4755730272</v>
      </c>
      <c r="U524" s="42">
        <f t="shared" si="102"/>
        <v>505840.8588638694</v>
      </c>
      <c r="V524" s="61"/>
      <c r="W524" s="37">
        <f aca="true" t="shared" si="103" ref="W524:W535">J524/I524*100</f>
        <v>168.54927562817682</v>
      </c>
      <c r="X524" s="37">
        <f aca="true" t="shared" si="104" ref="X524:X535">N524/J524*100</f>
        <v>85.29458149938701</v>
      </c>
    </row>
    <row r="525" spans="1:24" ht="25.5">
      <c r="A525" s="39"/>
      <c r="B525" s="40" t="s">
        <v>28</v>
      </c>
      <c r="C525" s="39"/>
      <c r="D525" s="41"/>
      <c r="E525" s="39"/>
      <c r="F525" s="39"/>
      <c r="G525" s="39" t="s">
        <v>230</v>
      </c>
      <c r="H525" s="42">
        <f>H526</f>
        <v>198768</v>
      </c>
      <c r="I525" s="42">
        <f>I526</f>
        <v>181802.84</v>
      </c>
      <c r="J525" s="42">
        <f>J526</f>
        <v>315402.238</v>
      </c>
      <c r="K525" s="42"/>
      <c r="L525" s="42"/>
      <c r="M525" s="42"/>
      <c r="N525" s="42">
        <f>N526</f>
        <v>269531.162</v>
      </c>
      <c r="O525" s="42"/>
      <c r="P525" s="42"/>
      <c r="Q525" s="42">
        <f>Q526</f>
        <v>265277.352</v>
      </c>
      <c r="R525" s="35">
        <f t="shared" si="101"/>
        <v>98.42177432530046</v>
      </c>
      <c r="S525" s="42"/>
      <c r="T525" s="42">
        <f>T526</f>
        <v>270968.5054</v>
      </c>
      <c r="U525" s="42">
        <f>U526</f>
        <v>277441.306072</v>
      </c>
      <c r="V525" s="61"/>
      <c r="W525" s="37">
        <f t="shared" si="103"/>
        <v>173.48586963768005</v>
      </c>
      <c r="X525" s="37">
        <f t="shared" si="104"/>
        <v>85.4563251386948</v>
      </c>
    </row>
    <row r="526" spans="1:24" ht="25.5">
      <c r="A526" s="39"/>
      <c r="B526" s="40"/>
      <c r="C526" s="39">
        <v>455</v>
      </c>
      <c r="D526" s="41"/>
      <c r="E526" s="39"/>
      <c r="F526" s="39"/>
      <c r="G526" s="39" t="s">
        <v>231</v>
      </c>
      <c r="H526" s="42">
        <f>H527</f>
        <v>198768</v>
      </c>
      <c r="I526" s="42">
        <f>I527+I554</f>
        <v>181802.84</v>
      </c>
      <c r="J526" s="42">
        <f>J527+J554</f>
        <v>315402.238</v>
      </c>
      <c r="K526" s="42"/>
      <c r="L526" s="42"/>
      <c r="M526" s="42"/>
      <c r="N526" s="42">
        <f>N527+N554</f>
        <v>269531.162</v>
      </c>
      <c r="O526" s="42"/>
      <c r="P526" s="42"/>
      <c r="Q526" s="42">
        <f>Q527+Q554</f>
        <v>265277.352</v>
      </c>
      <c r="R526" s="35">
        <f t="shared" si="101"/>
        <v>98.42177432530046</v>
      </c>
      <c r="S526" s="42"/>
      <c r="T526" s="42">
        <f>T527+T554</f>
        <v>270968.5054</v>
      </c>
      <c r="U526" s="42">
        <f>U527+U554</f>
        <v>277441.306072</v>
      </c>
      <c r="V526" s="61"/>
      <c r="W526" s="37">
        <f t="shared" si="103"/>
        <v>173.48586963768005</v>
      </c>
      <c r="X526" s="37">
        <f t="shared" si="104"/>
        <v>85.4563251386948</v>
      </c>
    </row>
    <row r="527" spans="1:24" ht="12.75">
      <c r="A527" s="39"/>
      <c r="B527" s="40"/>
      <c r="C527" s="39"/>
      <c r="D527" s="41">
        <v>3</v>
      </c>
      <c r="E527" s="39">
        <v>0</v>
      </c>
      <c r="F527" s="39"/>
      <c r="G527" s="45" t="s">
        <v>232</v>
      </c>
      <c r="H527" s="42">
        <f>H528+H529+H530+H531+H532+H533+H534+H535+H536+H537+H553</f>
        <v>198768</v>
      </c>
      <c r="I527" s="42">
        <f>SUM(I528:I537)</f>
        <v>181802.84</v>
      </c>
      <c r="J527" s="42">
        <f>SUM(J528:J537)</f>
        <v>308402.238</v>
      </c>
      <c r="K527" s="42">
        <f aca="true" t="shared" si="105" ref="K527:U527">SUM(K528:K537)</f>
        <v>0</v>
      </c>
      <c r="L527" s="42">
        <f t="shared" si="105"/>
        <v>0</v>
      </c>
      <c r="M527" s="42">
        <f t="shared" si="105"/>
        <v>0</v>
      </c>
      <c r="N527" s="42">
        <f t="shared" si="105"/>
        <v>269531.162</v>
      </c>
      <c r="O527" s="42">
        <f t="shared" si="105"/>
        <v>175070</v>
      </c>
      <c r="P527" s="42"/>
      <c r="Q527" s="42">
        <f t="shared" si="105"/>
        <v>265277.352</v>
      </c>
      <c r="R527" s="35">
        <f t="shared" si="101"/>
        <v>98.42177432530046</v>
      </c>
      <c r="S527" s="42"/>
      <c r="T527" s="42">
        <f t="shared" si="105"/>
        <v>270968.5054</v>
      </c>
      <c r="U527" s="42">
        <f t="shared" si="105"/>
        <v>277441.306072</v>
      </c>
      <c r="V527" s="46"/>
      <c r="W527" s="37">
        <f t="shared" si="103"/>
        <v>169.63554474726578</v>
      </c>
      <c r="X527" s="37">
        <f t="shared" si="104"/>
        <v>87.395981218528</v>
      </c>
    </row>
    <row r="528" spans="1:24" ht="12.75">
      <c r="A528" s="39"/>
      <c r="B528" s="40"/>
      <c r="C528" s="39"/>
      <c r="D528" s="41"/>
      <c r="E528" s="39"/>
      <c r="F528" s="39">
        <v>111</v>
      </c>
      <c r="G528" s="39" t="s">
        <v>33</v>
      </c>
      <c r="H528" s="42">
        <v>1452</v>
      </c>
      <c r="I528" s="42">
        <v>1633</v>
      </c>
      <c r="J528" s="42">
        <v>2087</v>
      </c>
      <c r="K528" s="42"/>
      <c r="L528" s="42"/>
      <c r="M528" s="42"/>
      <c r="N528" s="47">
        <v>2360</v>
      </c>
      <c r="O528" s="47"/>
      <c r="P528" s="47"/>
      <c r="Q528" s="47">
        <v>2400</v>
      </c>
      <c r="R528" s="35">
        <f t="shared" si="101"/>
        <v>101.69491525423729</v>
      </c>
      <c r="S528" s="47"/>
      <c r="T528" s="47">
        <v>2400</v>
      </c>
      <c r="U528" s="47">
        <v>2400</v>
      </c>
      <c r="V528" s="46"/>
      <c r="W528" s="37">
        <f t="shared" si="103"/>
        <v>127.80159216166564</v>
      </c>
      <c r="X528" s="37">
        <f t="shared" si="104"/>
        <v>113.08097747963583</v>
      </c>
    </row>
    <row r="529" spans="1:24" ht="12.75">
      <c r="A529" s="39"/>
      <c r="B529" s="40"/>
      <c r="C529" s="39"/>
      <c r="D529" s="41"/>
      <c r="E529" s="39"/>
      <c r="F529" s="39">
        <v>113</v>
      </c>
      <c r="G529" s="39" t="s">
        <v>35</v>
      </c>
      <c r="H529" s="42">
        <v>121</v>
      </c>
      <c r="I529" s="42">
        <f>H529*25/100+H529</f>
        <v>151.25</v>
      </c>
      <c r="J529" s="42">
        <f>I529*1.3</f>
        <v>196.625</v>
      </c>
      <c r="K529" s="42"/>
      <c r="L529" s="42"/>
      <c r="M529" s="42"/>
      <c r="N529" s="42">
        <f>J529</f>
        <v>196.625</v>
      </c>
      <c r="O529" s="42"/>
      <c r="P529" s="42"/>
      <c r="Q529" s="42">
        <f>N529</f>
        <v>196.625</v>
      </c>
      <c r="R529" s="35">
        <f t="shared" si="101"/>
        <v>100</v>
      </c>
      <c r="S529" s="42"/>
      <c r="T529" s="47">
        <v>200</v>
      </c>
      <c r="U529" s="47">
        <v>200</v>
      </c>
      <c r="V529" s="61"/>
      <c r="W529" s="37">
        <f t="shared" si="103"/>
        <v>130</v>
      </c>
      <c r="X529" s="37">
        <f t="shared" si="104"/>
        <v>100</v>
      </c>
    </row>
    <row r="530" spans="1:24" ht="12.75">
      <c r="A530" s="39"/>
      <c r="B530" s="40"/>
      <c r="C530" s="39"/>
      <c r="D530" s="41"/>
      <c r="E530" s="39"/>
      <c r="F530" s="39">
        <v>121</v>
      </c>
      <c r="G530" s="39" t="s">
        <v>36</v>
      </c>
      <c r="H530" s="42">
        <v>91</v>
      </c>
      <c r="I530" s="42">
        <f>(I528-(I528*0.1))*0.06</f>
        <v>88.182</v>
      </c>
      <c r="J530" s="42">
        <f>(J528-(J528*0.1))*0.06</f>
        <v>112.698</v>
      </c>
      <c r="K530" s="42"/>
      <c r="L530" s="42"/>
      <c r="M530" s="42"/>
      <c r="N530" s="42">
        <f>(N528-(N528*0.1))*0.06</f>
        <v>127.44</v>
      </c>
      <c r="O530" s="42"/>
      <c r="P530" s="42"/>
      <c r="Q530" s="42">
        <f>(Q528-(Q528*0.1))*0.06</f>
        <v>129.6</v>
      </c>
      <c r="R530" s="35">
        <f t="shared" si="101"/>
        <v>101.69491525423729</v>
      </c>
      <c r="S530" s="42"/>
      <c r="T530" s="42">
        <f>(T528-(T528*0.1))*0.06</f>
        <v>129.6</v>
      </c>
      <c r="U530" s="42">
        <f>(U528-(U528*0.1))*0.06</f>
        <v>129.6</v>
      </c>
      <c r="V530" s="61"/>
      <c r="W530" s="37">
        <f t="shared" si="103"/>
        <v>127.80159216166564</v>
      </c>
      <c r="X530" s="37">
        <f t="shared" si="104"/>
        <v>113.08097747963583</v>
      </c>
    </row>
    <row r="531" spans="1:24" ht="25.5">
      <c r="A531" s="39"/>
      <c r="B531" s="40"/>
      <c r="C531" s="39"/>
      <c r="D531" s="41"/>
      <c r="E531" s="39"/>
      <c r="F531" s="39">
        <v>122</v>
      </c>
      <c r="G531" s="39" t="s">
        <v>37</v>
      </c>
      <c r="H531" s="42">
        <v>53</v>
      </c>
      <c r="I531" s="42">
        <v>74</v>
      </c>
      <c r="J531" s="42">
        <f>(J528-(J528*0.1))*0.05</f>
        <v>93.915</v>
      </c>
      <c r="K531" s="42"/>
      <c r="L531" s="42"/>
      <c r="M531" s="42"/>
      <c r="N531" s="42">
        <f>(N528-(N528*0.1))*0.05</f>
        <v>106.2</v>
      </c>
      <c r="O531" s="42"/>
      <c r="P531" s="42"/>
      <c r="Q531" s="42">
        <f>(Q528-(Q528*0.1))*0.05</f>
        <v>108</v>
      </c>
      <c r="R531" s="35">
        <f t="shared" si="101"/>
        <v>101.69491525423729</v>
      </c>
      <c r="S531" s="42"/>
      <c r="T531" s="42">
        <f>(T528-(T528*0.1))*0.05</f>
        <v>108</v>
      </c>
      <c r="U531" s="42">
        <f>(U528-(U528*0.1))*0.05</f>
        <v>108</v>
      </c>
      <c r="V531" s="61"/>
      <c r="W531" s="37">
        <f t="shared" si="103"/>
        <v>126.91216216216216</v>
      </c>
      <c r="X531" s="37">
        <f t="shared" si="104"/>
        <v>113.08097747963583</v>
      </c>
    </row>
    <row r="532" spans="1:24" ht="12.75">
      <c r="A532" s="39"/>
      <c r="B532" s="40"/>
      <c r="C532" s="39"/>
      <c r="D532" s="41"/>
      <c r="E532" s="39"/>
      <c r="F532" s="39">
        <v>139</v>
      </c>
      <c r="G532" s="39" t="s">
        <v>39</v>
      </c>
      <c r="H532" s="42">
        <v>585</v>
      </c>
      <c r="I532" s="42">
        <v>109</v>
      </c>
      <c r="J532" s="42">
        <v>116</v>
      </c>
      <c r="K532" s="42"/>
      <c r="L532" s="42"/>
      <c r="M532" s="42"/>
      <c r="N532" s="42">
        <v>189</v>
      </c>
      <c r="O532" s="42"/>
      <c r="P532" s="42"/>
      <c r="Q532" s="42">
        <f>N532+(N532*0.07)</f>
        <v>202.23</v>
      </c>
      <c r="R532" s="35">
        <f t="shared" si="101"/>
        <v>106.99999999999999</v>
      </c>
      <c r="S532" s="42"/>
      <c r="T532" s="47">
        <f>Q532*1.08</f>
        <v>218.4084</v>
      </c>
      <c r="U532" s="47">
        <f>T532*1.08</f>
        <v>235.88107200000002</v>
      </c>
      <c r="V532" s="61"/>
      <c r="W532" s="37">
        <f t="shared" si="103"/>
        <v>106.42201834862387</v>
      </c>
      <c r="X532" s="37">
        <f t="shared" si="104"/>
        <v>162.93103448275863</v>
      </c>
    </row>
    <row r="533" spans="1:24" ht="12.75">
      <c r="A533" s="39"/>
      <c r="B533" s="40"/>
      <c r="C533" s="39"/>
      <c r="D533" s="41"/>
      <c r="E533" s="39"/>
      <c r="F533" s="39">
        <v>142</v>
      </c>
      <c r="G533" s="39" t="s">
        <v>40</v>
      </c>
      <c r="H533" s="42">
        <v>100</v>
      </c>
      <c r="I533" s="42">
        <v>108</v>
      </c>
      <c r="J533" s="42">
        <v>218</v>
      </c>
      <c r="K533" s="42"/>
      <c r="L533" s="42"/>
      <c r="M533" s="42"/>
      <c r="N533" s="42">
        <v>230</v>
      </c>
      <c r="O533" s="42"/>
      <c r="P533" s="42"/>
      <c r="Q533" s="42">
        <f>N533+(N533*0.07)</f>
        <v>246.1</v>
      </c>
      <c r="R533" s="35">
        <f t="shared" si="101"/>
        <v>107</v>
      </c>
      <c r="S533" s="42"/>
      <c r="T533" s="47">
        <f>Q533*1.08</f>
        <v>265.788</v>
      </c>
      <c r="U533" s="47">
        <f>T533*1.08</f>
        <v>287.05104000000006</v>
      </c>
      <c r="V533" s="61"/>
      <c r="W533" s="37">
        <f t="shared" si="103"/>
        <v>201.85185185185185</v>
      </c>
      <c r="X533" s="37">
        <f t="shared" si="104"/>
        <v>105.50458715596329</v>
      </c>
    </row>
    <row r="534" spans="1:24" ht="12.75">
      <c r="A534" s="39"/>
      <c r="B534" s="40"/>
      <c r="C534" s="39"/>
      <c r="D534" s="41"/>
      <c r="E534" s="39"/>
      <c r="F534" s="39">
        <v>149</v>
      </c>
      <c r="G534" s="39" t="s">
        <v>43</v>
      </c>
      <c r="H534" s="42">
        <v>37105</v>
      </c>
      <c r="I534" s="42">
        <v>43598</v>
      </c>
      <c r="J534" s="42">
        <v>70170</v>
      </c>
      <c r="K534" s="42"/>
      <c r="L534" s="42"/>
      <c r="M534" s="42"/>
      <c r="N534" s="42">
        <v>51058</v>
      </c>
      <c r="O534" s="42"/>
      <c r="P534" s="42"/>
      <c r="Q534" s="42">
        <f>N534+(N534*0.05)</f>
        <v>53610.9</v>
      </c>
      <c r="R534" s="35">
        <f t="shared" si="101"/>
        <v>105</v>
      </c>
      <c r="S534" s="42"/>
      <c r="T534" s="47">
        <f>Q534*1.08</f>
        <v>57899.772000000004</v>
      </c>
      <c r="U534" s="47">
        <f>T534*1.08</f>
        <v>62531.75376000001</v>
      </c>
      <c r="V534" s="46" t="s">
        <v>233</v>
      </c>
      <c r="W534" s="37">
        <f t="shared" si="103"/>
        <v>160.94774989678427</v>
      </c>
      <c r="X534" s="37">
        <f t="shared" si="104"/>
        <v>72.7632891549095</v>
      </c>
    </row>
    <row r="535" spans="1:24" ht="12.75">
      <c r="A535" s="39"/>
      <c r="B535" s="40"/>
      <c r="C535" s="39"/>
      <c r="D535" s="41"/>
      <c r="E535" s="39"/>
      <c r="F535" s="39">
        <v>159</v>
      </c>
      <c r="G535" s="39" t="s">
        <v>46</v>
      </c>
      <c r="H535" s="42">
        <v>1</v>
      </c>
      <c r="I535" s="42"/>
      <c r="J535" s="42"/>
      <c r="K535" s="42"/>
      <c r="L535" s="42"/>
      <c r="M535" s="42"/>
      <c r="N535" s="42"/>
      <c r="O535" s="42"/>
      <c r="P535" s="42"/>
      <c r="Q535" s="42"/>
      <c r="R535" s="35" t="e">
        <f t="shared" si="101"/>
        <v>#DIV/0!</v>
      </c>
      <c r="S535" s="42"/>
      <c r="T535" s="47"/>
      <c r="U535" s="35"/>
      <c r="V535" s="61"/>
      <c r="W535" s="37" t="e">
        <f t="shared" si="103"/>
        <v>#DIV/0!</v>
      </c>
      <c r="X535" s="37" t="e">
        <f t="shared" si="104"/>
        <v>#DIV/0!</v>
      </c>
    </row>
    <row r="536" spans="1:24" ht="25.5">
      <c r="A536" s="39"/>
      <c r="B536" s="40"/>
      <c r="C536" s="39"/>
      <c r="D536" s="41"/>
      <c r="E536" s="39"/>
      <c r="F536" s="39">
        <v>411</v>
      </c>
      <c r="G536" s="39" t="s">
        <v>49</v>
      </c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35" t="e">
        <f t="shared" si="101"/>
        <v>#DIV/0!</v>
      </c>
      <c r="S536" s="42"/>
      <c r="T536" s="47"/>
      <c r="U536" s="35"/>
      <c r="V536" s="61"/>
      <c r="W536" s="37"/>
      <c r="X536" s="37"/>
    </row>
    <row r="537" spans="1:24" ht="25.5">
      <c r="A537" s="39"/>
      <c r="B537" s="40"/>
      <c r="C537" s="39"/>
      <c r="D537" s="41"/>
      <c r="E537" s="39"/>
      <c r="F537" s="39">
        <v>311</v>
      </c>
      <c r="G537" s="39" t="s">
        <v>234</v>
      </c>
      <c r="H537" s="42">
        <f>SUM(H539:H551)</f>
        <v>128920</v>
      </c>
      <c r="I537" s="42">
        <f>SUM(I539:I551)</f>
        <v>136041.408</v>
      </c>
      <c r="J537" s="42">
        <f>SUM(J539:J544,J549:J553)</f>
        <v>235408</v>
      </c>
      <c r="K537" s="42">
        <f aca="true" t="shared" si="106" ref="K537:U537">SUM(K539:K544,K549:K553)</f>
        <v>0</v>
      </c>
      <c r="L537" s="42">
        <f t="shared" si="106"/>
        <v>0</v>
      </c>
      <c r="M537" s="42">
        <f t="shared" si="106"/>
        <v>0</v>
      </c>
      <c r="N537" s="42">
        <f t="shared" si="106"/>
        <v>215263.897</v>
      </c>
      <c r="O537" s="42">
        <f t="shared" si="106"/>
        <v>175070</v>
      </c>
      <c r="P537" s="42"/>
      <c r="Q537" s="42">
        <f t="shared" si="106"/>
        <v>208383.897</v>
      </c>
      <c r="R537" s="35">
        <f t="shared" si="101"/>
        <v>96.80392295415892</v>
      </c>
      <c r="S537" s="42"/>
      <c r="T537" s="42">
        <f t="shared" si="106"/>
        <v>209746.93700000003</v>
      </c>
      <c r="U537" s="42">
        <f t="shared" si="106"/>
        <v>211549.0202</v>
      </c>
      <c r="V537" s="46" t="s">
        <v>235</v>
      </c>
      <c r="W537" s="37">
        <f>J537/I537*100</f>
        <v>173.04143162058423</v>
      </c>
      <c r="X537" s="37">
        <f>N537/J537*100</f>
        <v>91.44289786243458</v>
      </c>
    </row>
    <row r="538" spans="1:24" ht="12.75">
      <c r="A538" s="39"/>
      <c r="B538" s="40"/>
      <c r="C538" s="39"/>
      <c r="D538" s="41"/>
      <c r="E538" s="39"/>
      <c r="F538" s="39"/>
      <c r="G538" s="39" t="s">
        <v>108</v>
      </c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35" t="e">
        <f t="shared" si="101"/>
        <v>#DIV/0!</v>
      </c>
      <c r="S538" s="42"/>
      <c r="T538" s="47"/>
      <c r="U538" s="35"/>
      <c r="V538" s="61"/>
      <c r="W538" s="37"/>
      <c r="X538" s="37"/>
    </row>
    <row r="539" spans="1:24" ht="12.75">
      <c r="A539" s="39"/>
      <c r="B539" s="40"/>
      <c r="C539" s="39"/>
      <c r="D539" s="41"/>
      <c r="E539" s="39"/>
      <c r="F539" s="39">
        <v>111</v>
      </c>
      <c r="G539" s="39" t="s">
        <v>33</v>
      </c>
      <c r="H539" s="42">
        <v>89326</v>
      </c>
      <c r="I539" s="42">
        <v>105792</v>
      </c>
      <c r="J539" s="42">
        <v>150700</v>
      </c>
      <c r="K539" s="42"/>
      <c r="L539" s="42"/>
      <c r="M539" s="42"/>
      <c r="N539" s="42">
        <v>164403</v>
      </c>
      <c r="O539" s="42">
        <v>164403</v>
      </c>
      <c r="P539" s="42"/>
      <c r="Q539" s="42">
        <v>164403</v>
      </c>
      <c r="R539" s="35">
        <f t="shared" si="101"/>
        <v>100</v>
      </c>
      <c r="S539" s="42"/>
      <c r="T539" s="42">
        <f>164403</f>
        <v>164403</v>
      </c>
      <c r="U539" s="42">
        <f>164403</f>
        <v>164403</v>
      </c>
      <c r="V539" s="46"/>
      <c r="W539" s="37">
        <f aca="true" t="shared" si="107" ref="W539:W544">J539/I539*100</f>
        <v>142.44933454325468</v>
      </c>
      <c r="X539" s="37">
        <f aca="true" t="shared" si="108" ref="X539:X544">N539/J539*100</f>
        <v>109.092899800929</v>
      </c>
    </row>
    <row r="540" spans="1:24" ht="12.75">
      <c r="A540" s="39"/>
      <c r="B540" s="40"/>
      <c r="C540" s="39"/>
      <c r="D540" s="41"/>
      <c r="E540" s="39"/>
      <c r="F540" s="39">
        <v>113</v>
      </c>
      <c r="G540" s="39" t="s">
        <v>35</v>
      </c>
      <c r="H540" s="42">
        <v>6760</v>
      </c>
      <c r="I540" s="42">
        <v>7861</v>
      </c>
      <c r="J540" s="42">
        <v>10221</v>
      </c>
      <c r="K540" s="42"/>
      <c r="L540" s="42"/>
      <c r="M540" s="42"/>
      <c r="N540" s="42">
        <v>10667</v>
      </c>
      <c r="O540" s="42">
        <v>10667</v>
      </c>
      <c r="P540" s="42"/>
      <c r="Q540" s="42">
        <v>10667</v>
      </c>
      <c r="R540" s="35">
        <f t="shared" si="101"/>
        <v>100</v>
      </c>
      <c r="S540" s="42"/>
      <c r="T540" s="42">
        <f>10667</f>
        <v>10667</v>
      </c>
      <c r="U540" s="42">
        <f>10997</f>
        <v>10997</v>
      </c>
      <c r="V540" s="46"/>
      <c r="W540" s="37">
        <f t="shared" si="107"/>
        <v>130.0216257473604</v>
      </c>
      <c r="X540" s="37">
        <f t="shared" si="108"/>
        <v>104.36356520888368</v>
      </c>
    </row>
    <row r="541" spans="1:24" ht="12.75">
      <c r="A541" s="39"/>
      <c r="B541" s="40"/>
      <c r="C541" s="39"/>
      <c r="D541" s="41"/>
      <c r="E541" s="39"/>
      <c r="F541" s="39">
        <v>121</v>
      </c>
      <c r="G541" s="39" t="s">
        <v>36</v>
      </c>
      <c r="H541" s="42">
        <v>5628</v>
      </c>
      <c r="I541" s="42">
        <f>(I539-(I539*0.1))*0.06</f>
        <v>5712.768</v>
      </c>
      <c r="J541" s="42">
        <v>7533</v>
      </c>
      <c r="K541" s="42"/>
      <c r="L541" s="42"/>
      <c r="M541" s="42"/>
      <c r="N541" s="42">
        <f>(N539-(N539*0.1))*0.06</f>
        <v>8877.762</v>
      </c>
      <c r="O541" s="42"/>
      <c r="P541" s="42"/>
      <c r="Q541" s="42">
        <f>(Q539-(Q539*0.1))*0.06</f>
        <v>8877.762</v>
      </c>
      <c r="R541" s="35">
        <f t="shared" si="101"/>
        <v>100</v>
      </c>
      <c r="S541" s="42"/>
      <c r="T541" s="42">
        <f>(T539-(T539*0.1))*0.06</f>
        <v>8877.762</v>
      </c>
      <c r="U541" s="42">
        <f>(U539-(U539*0.1))*0.06</f>
        <v>8877.762</v>
      </c>
      <c r="V541" s="61"/>
      <c r="W541" s="37">
        <f t="shared" si="107"/>
        <v>131.86252268602541</v>
      </c>
      <c r="X541" s="37">
        <f t="shared" si="108"/>
        <v>117.85161290322581</v>
      </c>
    </row>
    <row r="542" spans="1:24" ht="25.5">
      <c r="A542" s="39"/>
      <c r="B542" s="40"/>
      <c r="C542" s="39"/>
      <c r="D542" s="41"/>
      <c r="E542" s="39"/>
      <c r="F542" s="39">
        <v>122</v>
      </c>
      <c r="G542" s="39" t="s">
        <v>37</v>
      </c>
      <c r="H542" s="42">
        <v>3216</v>
      </c>
      <c r="I542" s="42">
        <f>(I539-(I539*0.1))*0.05</f>
        <v>4760.64</v>
      </c>
      <c r="J542" s="42">
        <v>6277</v>
      </c>
      <c r="K542" s="42"/>
      <c r="L542" s="42"/>
      <c r="M542" s="42"/>
      <c r="N542" s="42">
        <f>(N539-(N539*0.1))*0.05</f>
        <v>7398.135000000001</v>
      </c>
      <c r="O542" s="42"/>
      <c r="P542" s="42"/>
      <c r="Q542" s="42">
        <f>(Q539-(Q539*0.1))*0.05</f>
        <v>7398.135000000001</v>
      </c>
      <c r="R542" s="35">
        <f t="shared" si="101"/>
        <v>100</v>
      </c>
      <c r="S542" s="42"/>
      <c r="T542" s="42">
        <f>(T539-(T539*0.1))*0.05</f>
        <v>7398.135000000001</v>
      </c>
      <c r="U542" s="42">
        <f>(U539-(U539*0.1))*0.05</f>
        <v>7398.135000000001</v>
      </c>
      <c r="V542" s="61"/>
      <c r="W542" s="37">
        <f t="shared" si="107"/>
        <v>131.8520198964845</v>
      </c>
      <c r="X542" s="37">
        <f t="shared" si="108"/>
        <v>117.86100047793533</v>
      </c>
    </row>
    <row r="543" spans="1:24" ht="12.75">
      <c r="A543" s="39"/>
      <c r="B543" s="40"/>
      <c r="C543" s="39"/>
      <c r="D543" s="41"/>
      <c r="E543" s="39"/>
      <c r="F543" s="39">
        <v>139</v>
      </c>
      <c r="G543" s="39" t="s">
        <v>39</v>
      </c>
      <c r="H543" s="42">
        <v>5183</v>
      </c>
      <c r="I543" s="42">
        <v>3202</v>
      </c>
      <c r="J543" s="42">
        <v>1286</v>
      </c>
      <c r="K543" s="42"/>
      <c r="L543" s="42"/>
      <c r="M543" s="42"/>
      <c r="N543" s="42">
        <v>9583</v>
      </c>
      <c r="O543" s="42"/>
      <c r="P543" s="42"/>
      <c r="Q543" s="42">
        <f>9583-4000</f>
        <v>5583</v>
      </c>
      <c r="R543" s="35">
        <f t="shared" si="101"/>
        <v>58.25941771887718</v>
      </c>
      <c r="S543" s="42"/>
      <c r="T543" s="47">
        <f>Q543*1.08</f>
        <v>6029.64</v>
      </c>
      <c r="U543" s="47">
        <f>T543*1.08</f>
        <v>6512.011200000001</v>
      </c>
      <c r="V543" s="61"/>
      <c r="W543" s="37">
        <f t="shared" si="107"/>
        <v>40.162398500936916</v>
      </c>
      <c r="X543" s="37">
        <f t="shared" si="108"/>
        <v>745.1788491446346</v>
      </c>
    </row>
    <row r="544" spans="1:24" ht="12.75">
      <c r="A544" s="39"/>
      <c r="B544" s="40"/>
      <c r="C544" s="39"/>
      <c r="D544" s="41"/>
      <c r="E544" s="39"/>
      <c r="F544" s="39">
        <v>141</v>
      </c>
      <c r="G544" s="39" t="s">
        <v>60</v>
      </c>
      <c r="H544" s="42">
        <v>3803</v>
      </c>
      <c r="I544" s="42">
        <v>5748</v>
      </c>
      <c r="J544" s="42">
        <f>J546+J547+J548</f>
        <v>5283</v>
      </c>
      <c r="K544" s="42"/>
      <c r="L544" s="42"/>
      <c r="M544" s="42"/>
      <c r="N544" s="42">
        <f>SUM(N546:N548)</f>
        <v>5531</v>
      </c>
      <c r="O544" s="42"/>
      <c r="P544" s="42"/>
      <c r="Q544" s="42">
        <v>5650</v>
      </c>
      <c r="R544" s="35">
        <f t="shared" si="101"/>
        <v>102.15150967275358</v>
      </c>
      <c r="S544" s="42"/>
      <c r="T544" s="47">
        <f>Q544*1.08</f>
        <v>6102</v>
      </c>
      <c r="U544" s="47">
        <f>T544*1.08</f>
        <v>6590.160000000001</v>
      </c>
      <c r="V544" s="61"/>
      <c r="W544" s="37">
        <f t="shared" si="107"/>
        <v>91.91022964509395</v>
      </c>
      <c r="X544" s="37">
        <f t="shared" si="108"/>
        <v>104.69430247965172</v>
      </c>
    </row>
    <row r="545" spans="1:24" ht="12.75">
      <c r="A545" s="39"/>
      <c r="B545" s="40"/>
      <c r="C545" s="39"/>
      <c r="D545" s="41"/>
      <c r="E545" s="39"/>
      <c r="F545" s="39"/>
      <c r="G545" s="39" t="s">
        <v>58</v>
      </c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35" t="e">
        <f t="shared" si="101"/>
        <v>#DIV/0!</v>
      </c>
      <c r="S545" s="42"/>
      <c r="T545" s="47"/>
      <c r="U545" s="35"/>
      <c r="V545" s="61"/>
      <c r="W545" s="37"/>
      <c r="X545" s="37"/>
    </row>
    <row r="546" spans="1:24" ht="12.75">
      <c r="A546" s="39"/>
      <c r="B546" s="40"/>
      <c r="C546" s="39"/>
      <c r="D546" s="41"/>
      <c r="E546" s="39"/>
      <c r="F546" s="39"/>
      <c r="G546" s="39" t="s">
        <v>64</v>
      </c>
      <c r="H546" s="42"/>
      <c r="I546" s="42"/>
      <c r="J546" s="42">
        <v>326</v>
      </c>
      <c r="K546" s="42"/>
      <c r="L546" s="42"/>
      <c r="M546" s="42"/>
      <c r="N546" s="42">
        <v>326</v>
      </c>
      <c r="O546" s="42"/>
      <c r="P546" s="42"/>
      <c r="Q546" s="42"/>
      <c r="R546" s="35">
        <f t="shared" si="101"/>
        <v>0</v>
      </c>
      <c r="S546" s="42"/>
      <c r="T546" s="47"/>
      <c r="U546" s="35"/>
      <c r="V546" s="61"/>
      <c r="W546" s="37"/>
      <c r="X546" s="37"/>
    </row>
    <row r="547" spans="1:24" ht="12.75">
      <c r="A547" s="39"/>
      <c r="B547" s="40"/>
      <c r="C547" s="39"/>
      <c r="D547" s="41"/>
      <c r="E547" s="39"/>
      <c r="F547" s="39"/>
      <c r="G547" s="39" t="s">
        <v>65</v>
      </c>
      <c r="H547" s="42"/>
      <c r="I547" s="42"/>
      <c r="J547" s="42">
        <v>910</v>
      </c>
      <c r="K547" s="42"/>
      <c r="L547" s="42"/>
      <c r="M547" s="42"/>
      <c r="N547" s="42">
        <v>967</v>
      </c>
      <c r="O547" s="42"/>
      <c r="P547" s="42"/>
      <c r="Q547" s="42"/>
      <c r="R547" s="35">
        <f t="shared" si="101"/>
        <v>0</v>
      </c>
      <c r="S547" s="42"/>
      <c r="T547" s="47"/>
      <c r="U547" s="35"/>
      <c r="V547" s="61"/>
      <c r="W547" s="37"/>
      <c r="X547" s="37"/>
    </row>
    <row r="548" spans="1:24" ht="12.75">
      <c r="A548" s="39"/>
      <c r="B548" s="40"/>
      <c r="C548" s="39"/>
      <c r="D548" s="41"/>
      <c r="E548" s="39"/>
      <c r="F548" s="39"/>
      <c r="G548" s="39" t="s">
        <v>66</v>
      </c>
      <c r="H548" s="42"/>
      <c r="I548" s="42"/>
      <c r="J548" s="42">
        <v>4047</v>
      </c>
      <c r="K548" s="42"/>
      <c r="L548" s="42"/>
      <c r="M548" s="42"/>
      <c r="N548" s="42">
        <v>4238</v>
      </c>
      <c r="O548" s="42"/>
      <c r="P548" s="42"/>
      <c r="Q548" s="42"/>
      <c r="R548" s="35">
        <f t="shared" si="101"/>
        <v>0</v>
      </c>
      <c r="S548" s="42"/>
      <c r="T548" s="47"/>
      <c r="U548" s="35"/>
      <c r="V548" s="61"/>
      <c r="W548" s="37"/>
      <c r="X548" s="37"/>
    </row>
    <row r="549" spans="1:24" ht="12.75">
      <c r="A549" s="39"/>
      <c r="B549" s="40"/>
      <c r="C549" s="39"/>
      <c r="D549" s="41"/>
      <c r="E549" s="39"/>
      <c r="F549" s="39">
        <v>142</v>
      </c>
      <c r="G549" s="39" t="s">
        <v>40</v>
      </c>
      <c r="H549" s="42">
        <v>129</v>
      </c>
      <c r="I549" s="42">
        <v>651</v>
      </c>
      <c r="J549" s="42">
        <v>651</v>
      </c>
      <c r="K549" s="42"/>
      <c r="L549" s="42"/>
      <c r="M549" s="42"/>
      <c r="N549" s="42">
        <v>883</v>
      </c>
      <c r="O549" s="42"/>
      <c r="P549" s="42"/>
      <c r="Q549" s="42">
        <v>883</v>
      </c>
      <c r="R549" s="35">
        <f t="shared" si="101"/>
        <v>100</v>
      </c>
      <c r="S549" s="42"/>
      <c r="T549" s="47">
        <f>Q549*1.08</f>
        <v>953.6400000000001</v>
      </c>
      <c r="U549" s="47">
        <f>T549*1.08</f>
        <v>1029.9312000000002</v>
      </c>
      <c r="V549" s="61"/>
      <c r="W549" s="37">
        <f>J549/I549*100</f>
        <v>100</v>
      </c>
      <c r="X549" s="37">
        <f>N549/J549*100</f>
        <v>135.63748079877112</v>
      </c>
    </row>
    <row r="550" spans="1:24" ht="12.75">
      <c r="A550" s="39"/>
      <c r="B550" s="40"/>
      <c r="C550" s="39"/>
      <c r="D550" s="41"/>
      <c r="E550" s="39"/>
      <c r="F550" s="39">
        <v>149</v>
      </c>
      <c r="G550" s="39" t="s">
        <v>43</v>
      </c>
      <c r="H550" s="42">
        <v>14813</v>
      </c>
      <c r="I550" s="42">
        <v>2248</v>
      </c>
      <c r="J550" s="42">
        <v>53457</v>
      </c>
      <c r="K550" s="42"/>
      <c r="L550" s="42"/>
      <c r="M550" s="42"/>
      <c r="N550" s="42">
        <v>7921</v>
      </c>
      <c r="O550" s="42"/>
      <c r="P550" s="42"/>
      <c r="Q550" s="42">
        <f>5922-1000</f>
        <v>4922</v>
      </c>
      <c r="R550" s="35">
        <f t="shared" si="101"/>
        <v>62.13861886125489</v>
      </c>
      <c r="S550" s="42"/>
      <c r="T550" s="47">
        <f>Q550*1.08</f>
        <v>5315.76</v>
      </c>
      <c r="U550" s="47">
        <f>T550*1.08</f>
        <v>5741.0208</v>
      </c>
      <c r="V550" s="46"/>
      <c r="W550" s="37">
        <f>J550/I550*100</f>
        <v>2377.9804270462632</v>
      </c>
      <c r="X550" s="37">
        <f>N550/J550*100</f>
        <v>14.817516882728174</v>
      </c>
    </row>
    <row r="551" spans="1:24" ht="12.75">
      <c r="A551" s="39"/>
      <c r="B551" s="40"/>
      <c r="C551" s="39"/>
      <c r="D551" s="41"/>
      <c r="E551" s="39"/>
      <c r="F551" s="39">
        <v>159</v>
      </c>
      <c r="G551" s="39" t="s">
        <v>46</v>
      </c>
      <c r="H551" s="42">
        <v>62</v>
      </c>
      <c r="I551" s="42">
        <v>66</v>
      </c>
      <c r="J551" s="42"/>
      <c r="K551" s="42"/>
      <c r="L551" s="42"/>
      <c r="M551" s="42"/>
      <c r="N551" s="42">
        <f>J551+(J551*0.07)</f>
        <v>0</v>
      </c>
      <c r="O551" s="42"/>
      <c r="P551" s="42"/>
      <c r="Q551" s="42">
        <f>N551+(N551*0.07)</f>
        <v>0</v>
      </c>
      <c r="R551" s="35" t="e">
        <f t="shared" si="101"/>
        <v>#DIV/0!</v>
      </c>
      <c r="S551" s="42"/>
      <c r="T551" s="47"/>
      <c r="U551" s="35"/>
      <c r="V551" s="61"/>
      <c r="W551" s="37">
        <f>J551/I551*100</f>
        <v>0</v>
      </c>
      <c r="X551" s="37" t="e">
        <f>N551/J551*100</f>
        <v>#DIV/0!</v>
      </c>
    </row>
    <row r="552" spans="1:24" ht="25.5">
      <c r="A552" s="39"/>
      <c r="B552" s="40"/>
      <c r="C552" s="39"/>
      <c r="D552" s="41"/>
      <c r="E552" s="39"/>
      <c r="F552" s="39">
        <v>411</v>
      </c>
      <c r="G552" s="39" t="s">
        <v>49</v>
      </c>
      <c r="H552" s="42"/>
      <c r="I552" s="42">
        <f>H552+(H552*0.08)</f>
        <v>0</v>
      </c>
      <c r="J552" s="42">
        <f>I552+(I552*0.075)</f>
        <v>0</v>
      </c>
      <c r="K552" s="42"/>
      <c r="L552" s="42"/>
      <c r="M552" s="42"/>
      <c r="N552" s="42">
        <f>J552+(J552*0.07)</f>
        <v>0</v>
      </c>
      <c r="O552" s="42"/>
      <c r="P552" s="42"/>
      <c r="Q552" s="42"/>
      <c r="R552" s="35" t="e">
        <f t="shared" si="101"/>
        <v>#DIV/0!</v>
      </c>
      <c r="S552" s="42"/>
      <c r="T552" s="47"/>
      <c r="U552" s="35"/>
      <c r="V552" s="61"/>
      <c r="W552" s="37"/>
      <c r="X552" s="37"/>
    </row>
    <row r="553" spans="1:24" ht="12.75">
      <c r="A553" s="39"/>
      <c r="B553" s="40"/>
      <c r="C553" s="39"/>
      <c r="D553" s="41"/>
      <c r="E553" s="39"/>
      <c r="F553" s="39">
        <v>461</v>
      </c>
      <c r="G553" s="39" t="s">
        <v>115</v>
      </c>
      <c r="H553" s="42">
        <v>30340</v>
      </c>
      <c r="I553" s="42"/>
      <c r="J553" s="42"/>
      <c r="K553" s="42"/>
      <c r="L553" s="42"/>
      <c r="M553" s="42"/>
      <c r="N553" s="42"/>
      <c r="O553" s="42"/>
      <c r="P553" s="42"/>
      <c r="Q553" s="42"/>
      <c r="R553" s="35" t="e">
        <f t="shared" si="101"/>
        <v>#DIV/0!</v>
      </c>
      <c r="S553" s="42"/>
      <c r="T553" s="47"/>
      <c r="U553" s="35"/>
      <c r="V553" s="46"/>
      <c r="W553" s="37" t="e">
        <f>J553/I553*100</f>
        <v>#DIV/0!</v>
      </c>
      <c r="X553" s="37" t="e">
        <f>N553/J553*100</f>
        <v>#DIV/0!</v>
      </c>
    </row>
    <row r="554" spans="1:24" ht="25.5">
      <c r="A554" s="39"/>
      <c r="B554" s="40"/>
      <c r="C554" s="39"/>
      <c r="D554" s="41">
        <v>9</v>
      </c>
      <c r="E554" s="39"/>
      <c r="F554" s="39"/>
      <c r="G554" s="51" t="s">
        <v>236</v>
      </c>
      <c r="H554" s="42"/>
      <c r="I554" s="42"/>
      <c r="J554" s="42">
        <f>J555+J556</f>
        <v>7000</v>
      </c>
      <c r="K554" s="42"/>
      <c r="L554" s="42"/>
      <c r="M554" s="42"/>
      <c r="N554" s="42"/>
      <c r="O554" s="42"/>
      <c r="P554" s="42"/>
      <c r="Q554" s="42"/>
      <c r="R554" s="35" t="e">
        <f t="shared" si="101"/>
        <v>#DIV/0!</v>
      </c>
      <c r="S554" s="42"/>
      <c r="T554" s="47"/>
      <c r="U554" s="35"/>
      <c r="V554" s="46"/>
      <c r="W554" s="37"/>
      <c r="X554" s="37"/>
    </row>
    <row r="555" spans="1:24" ht="12.75">
      <c r="A555" s="39"/>
      <c r="B555" s="40"/>
      <c r="C555" s="39"/>
      <c r="D555" s="41"/>
      <c r="E555" s="39"/>
      <c r="F555" s="39">
        <v>149</v>
      </c>
      <c r="G555" s="39" t="s">
        <v>43</v>
      </c>
      <c r="H555" s="42"/>
      <c r="I555" s="42"/>
      <c r="J555" s="42">
        <v>5000</v>
      </c>
      <c r="K555" s="42"/>
      <c r="L555" s="42"/>
      <c r="M555" s="42"/>
      <c r="N555" s="42"/>
      <c r="O555" s="42"/>
      <c r="P555" s="42"/>
      <c r="Q555" s="42"/>
      <c r="R555" s="35" t="e">
        <f t="shared" si="101"/>
        <v>#DIV/0!</v>
      </c>
      <c r="S555" s="42"/>
      <c r="T555" s="47"/>
      <c r="U555" s="35"/>
      <c r="V555" s="46"/>
      <c r="W555" s="37"/>
      <c r="X555" s="37"/>
    </row>
    <row r="556" spans="1:24" ht="25.5">
      <c r="A556" s="39"/>
      <c r="B556" s="40"/>
      <c r="C556" s="39"/>
      <c r="D556" s="41"/>
      <c r="E556" s="39"/>
      <c r="F556" s="39">
        <v>431</v>
      </c>
      <c r="G556" s="39" t="s">
        <v>113</v>
      </c>
      <c r="H556" s="42"/>
      <c r="I556" s="42"/>
      <c r="J556" s="42">
        <v>2000</v>
      </c>
      <c r="K556" s="42"/>
      <c r="L556" s="42"/>
      <c r="M556" s="42"/>
      <c r="N556" s="42"/>
      <c r="O556" s="42"/>
      <c r="P556" s="42"/>
      <c r="Q556" s="42"/>
      <c r="R556" s="35" t="e">
        <f t="shared" si="101"/>
        <v>#DIV/0!</v>
      </c>
      <c r="S556" s="42"/>
      <c r="T556" s="47"/>
      <c r="U556" s="35"/>
      <c r="V556" s="46"/>
      <c r="W556" s="37"/>
      <c r="X556" s="37"/>
    </row>
    <row r="557" spans="1:24" ht="25.5">
      <c r="A557" s="39"/>
      <c r="B557" s="40" t="s">
        <v>69</v>
      </c>
      <c r="C557" s="39"/>
      <c r="D557" s="41"/>
      <c r="E557" s="39"/>
      <c r="F557" s="39"/>
      <c r="G557" s="39" t="s">
        <v>237</v>
      </c>
      <c r="H557" s="42" t="e">
        <f>H558</f>
        <v>#REF!</v>
      </c>
      <c r="I557" s="42">
        <f>I558</f>
        <v>33224.688</v>
      </c>
      <c r="J557" s="42">
        <f>J558+J578</f>
        <v>93778</v>
      </c>
      <c r="K557" s="42"/>
      <c r="L557" s="42"/>
      <c r="M557" s="42"/>
      <c r="N557" s="42">
        <f>N558</f>
        <v>56311.17</v>
      </c>
      <c r="O557" s="42"/>
      <c r="P557" s="42"/>
      <c r="Q557" s="42">
        <f>Q558</f>
        <v>59824.8</v>
      </c>
      <c r="R557" s="35">
        <f t="shared" si="101"/>
        <v>106.23966790247832</v>
      </c>
      <c r="S557" s="42"/>
      <c r="T557" s="42">
        <f>T558</f>
        <v>57086.5794</v>
      </c>
      <c r="U557" s="42">
        <f>U558</f>
        <v>58388.802117</v>
      </c>
      <c r="V557" s="48" t="s">
        <v>238</v>
      </c>
      <c r="W557" s="37">
        <f>J557/I557*100</f>
        <v>282.25396729082905</v>
      </c>
      <c r="X557" s="37">
        <f>N557/J557*100</f>
        <v>60.047313868924476</v>
      </c>
    </row>
    <row r="558" spans="1:24" ht="25.5">
      <c r="A558" s="39"/>
      <c r="B558" s="40"/>
      <c r="C558" s="39">
        <v>465</v>
      </c>
      <c r="D558" s="41"/>
      <c r="E558" s="39"/>
      <c r="F558" s="39"/>
      <c r="G558" s="39" t="s">
        <v>239</v>
      </c>
      <c r="H558" s="42" t="e">
        <f aca="true" t="shared" si="109" ref="H558:U558">H559+H570+H574</f>
        <v>#REF!</v>
      </c>
      <c r="I558" s="42">
        <f t="shared" si="109"/>
        <v>33224.688</v>
      </c>
      <c r="J558" s="42">
        <f t="shared" si="109"/>
        <v>54306</v>
      </c>
      <c r="K558" s="42"/>
      <c r="L558" s="42"/>
      <c r="M558" s="42"/>
      <c r="N558" s="42">
        <f t="shared" si="109"/>
        <v>56311.17</v>
      </c>
      <c r="O558" s="42"/>
      <c r="P558" s="42"/>
      <c r="Q558" s="42">
        <f t="shared" si="109"/>
        <v>59824.8</v>
      </c>
      <c r="R558" s="35">
        <f t="shared" si="101"/>
        <v>106.23966790247832</v>
      </c>
      <c r="S558" s="42"/>
      <c r="T558" s="42">
        <f t="shared" si="109"/>
        <v>57086.5794</v>
      </c>
      <c r="U558" s="42">
        <f t="shared" si="109"/>
        <v>58388.802117</v>
      </c>
      <c r="V558" s="46"/>
      <c r="W558" s="37">
        <f>J558/I558*100</f>
        <v>163.4507448196353</v>
      </c>
      <c r="X558" s="37">
        <f>N558/J558*100</f>
        <v>103.69235443597393</v>
      </c>
    </row>
    <row r="559" spans="1:24" ht="25.5">
      <c r="A559" s="39"/>
      <c r="B559" s="40"/>
      <c r="C559" s="39"/>
      <c r="D559" s="41">
        <v>5</v>
      </c>
      <c r="E559" s="39" t="s">
        <v>67</v>
      </c>
      <c r="F559" s="39"/>
      <c r="G559" s="45" t="s">
        <v>240</v>
      </c>
      <c r="H559" s="42" t="e">
        <f>H560+#REF!</f>
        <v>#REF!</v>
      </c>
      <c r="I559" s="42">
        <f>I560</f>
        <v>13712.968</v>
      </c>
      <c r="J559" s="42">
        <f>J560</f>
        <v>19554</v>
      </c>
      <c r="K559" s="42"/>
      <c r="L559" s="42">
        <v>18150</v>
      </c>
      <c r="M559" s="42"/>
      <c r="N559" s="42">
        <f>N560</f>
        <v>23971.17</v>
      </c>
      <c r="O559" s="42">
        <f>O560</f>
        <v>11830</v>
      </c>
      <c r="P559" s="42"/>
      <c r="Q559" s="42">
        <f>Q560+2000+2000</f>
        <v>26513.04</v>
      </c>
      <c r="R559" s="35">
        <f t="shared" si="101"/>
        <v>110.60386289029698</v>
      </c>
      <c r="S559" s="42"/>
      <c r="T559" s="42">
        <f>T560</f>
        <v>22775.4666</v>
      </c>
      <c r="U559" s="42">
        <f>U560</f>
        <v>23046.206838</v>
      </c>
      <c r="V559" s="48"/>
      <c r="W559" s="37">
        <f>J559/I559*100</f>
        <v>142.5949509982084</v>
      </c>
      <c r="X559" s="37">
        <f>N559/J559*100</f>
        <v>122.58959803620742</v>
      </c>
    </row>
    <row r="560" spans="1:24" ht="12.75">
      <c r="A560" s="39"/>
      <c r="B560" s="40"/>
      <c r="C560" s="39"/>
      <c r="D560" s="41"/>
      <c r="E560" s="39"/>
      <c r="F560" s="39">
        <v>149</v>
      </c>
      <c r="G560" s="39" t="s">
        <v>39</v>
      </c>
      <c r="H560" s="42">
        <v>117</v>
      </c>
      <c r="I560" s="42">
        <f>SUM(I562:I568)</f>
        <v>13712.968</v>
      </c>
      <c r="J560" s="42">
        <f>SUM(J562:J568)</f>
        <v>19554</v>
      </c>
      <c r="K560" s="42"/>
      <c r="L560" s="42"/>
      <c r="M560" s="42"/>
      <c r="N560" s="42">
        <f>SUM(N562:N569)</f>
        <v>23971.17</v>
      </c>
      <c r="O560" s="42">
        <f aca="true" t="shared" si="110" ref="O560:U560">SUM(O562:O569)</f>
        <v>11830</v>
      </c>
      <c r="P560" s="42"/>
      <c r="Q560" s="42">
        <f t="shared" si="110"/>
        <v>22513.04</v>
      </c>
      <c r="R560" s="35">
        <f t="shared" si="101"/>
        <v>93.9171513113461</v>
      </c>
      <c r="S560" s="42"/>
      <c r="T560" s="42">
        <f t="shared" si="110"/>
        <v>22775.4666</v>
      </c>
      <c r="U560" s="42">
        <f t="shared" si="110"/>
        <v>23046.206838</v>
      </c>
      <c r="V560" s="46"/>
      <c r="W560" s="37">
        <f>J560/I560*100</f>
        <v>142.5949509982084</v>
      </c>
      <c r="X560" s="37">
        <f>N560/J560*100</f>
        <v>122.58959803620742</v>
      </c>
    </row>
    <row r="561" spans="1:24" ht="12.75">
      <c r="A561" s="39"/>
      <c r="B561" s="40"/>
      <c r="C561" s="39"/>
      <c r="D561" s="41"/>
      <c r="E561" s="39"/>
      <c r="F561" s="39"/>
      <c r="G561" s="39" t="s">
        <v>241</v>
      </c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35" t="e">
        <f t="shared" si="101"/>
        <v>#DIV/0!</v>
      </c>
      <c r="S561" s="42"/>
      <c r="T561" s="47"/>
      <c r="U561" s="35"/>
      <c r="V561" s="46" t="s">
        <v>242</v>
      </c>
      <c r="W561" s="37"/>
      <c r="X561" s="37"/>
    </row>
    <row r="562" spans="1:24" ht="12.75">
      <c r="A562" s="39"/>
      <c r="B562" s="40"/>
      <c r="C562" s="39"/>
      <c r="D562" s="41"/>
      <c r="E562" s="39"/>
      <c r="F562" s="39">
        <v>111</v>
      </c>
      <c r="G562" s="39" t="s">
        <v>33</v>
      </c>
      <c r="H562" s="42"/>
      <c r="I562" s="42">
        <v>7232</v>
      </c>
      <c r="J562" s="42">
        <v>10274</v>
      </c>
      <c r="K562" s="42"/>
      <c r="L562" s="42"/>
      <c r="M562" s="42"/>
      <c r="N562" s="42">
        <v>11830</v>
      </c>
      <c r="O562" s="42">
        <v>11830</v>
      </c>
      <c r="P562" s="42"/>
      <c r="Q562" s="42">
        <v>11830</v>
      </c>
      <c r="R562" s="35">
        <f t="shared" si="101"/>
        <v>100</v>
      </c>
      <c r="S562" s="42"/>
      <c r="T562" s="42">
        <v>11830</v>
      </c>
      <c r="U562" s="42">
        <v>11830</v>
      </c>
      <c r="V562" s="46"/>
      <c r="W562" s="37"/>
      <c r="X562" s="37"/>
    </row>
    <row r="563" spans="1:24" ht="12.75">
      <c r="A563" s="39"/>
      <c r="B563" s="40"/>
      <c r="C563" s="39"/>
      <c r="D563" s="41"/>
      <c r="E563" s="39"/>
      <c r="F563" s="39">
        <v>113</v>
      </c>
      <c r="G563" s="39" t="s">
        <v>35</v>
      </c>
      <c r="H563" s="42"/>
      <c r="I563" s="42">
        <v>453</v>
      </c>
      <c r="J563" s="42">
        <v>968</v>
      </c>
      <c r="K563" s="42"/>
      <c r="L563" s="42"/>
      <c r="M563" s="42"/>
      <c r="N563" s="42">
        <v>948</v>
      </c>
      <c r="O563" s="42"/>
      <c r="P563" s="42"/>
      <c r="Q563" s="42">
        <f>N563</f>
        <v>948</v>
      </c>
      <c r="R563" s="35">
        <f t="shared" si="101"/>
        <v>100</v>
      </c>
      <c r="S563" s="42"/>
      <c r="T563" s="42">
        <f>Q563</f>
        <v>948</v>
      </c>
      <c r="U563" s="42">
        <f>T563</f>
        <v>948</v>
      </c>
      <c r="V563" s="46"/>
      <c r="W563" s="37"/>
      <c r="X563" s="37"/>
    </row>
    <row r="564" spans="1:24" ht="12.75">
      <c r="A564" s="39"/>
      <c r="B564" s="40"/>
      <c r="C564" s="39"/>
      <c r="D564" s="41"/>
      <c r="E564" s="39"/>
      <c r="F564" s="39">
        <v>121</v>
      </c>
      <c r="G564" s="39" t="s">
        <v>36</v>
      </c>
      <c r="H564" s="42"/>
      <c r="I564" s="42">
        <f>(I562-(I562*0.1))*0.06</f>
        <v>390.528</v>
      </c>
      <c r="J564" s="42">
        <v>555</v>
      </c>
      <c r="K564" s="42"/>
      <c r="L564" s="42"/>
      <c r="M564" s="42"/>
      <c r="N564" s="42">
        <f>(N562-(N562*0.1))*0.06</f>
        <v>638.8199999999999</v>
      </c>
      <c r="O564" s="42"/>
      <c r="P564" s="42"/>
      <c r="Q564" s="42">
        <f>(Q562-(Q562*0.1))*0.06</f>
        <v>638.8199999999999</v>
      </c>
      <c r="R564" s="35">
        <f t="shared" si="101"/>
        <v>100</v>
      </c>
      <c r="S564" s="42"/>
      <c r="T564" s="42">
        <f>(T562-(T562*0.1))*0.06</f>
        <v>638.8199999999999</v>
      </c>
      <c r="U564" s="42">
        <f>(U562-(U562*0.1))*0.06</f>
        <v>638.8199999999999</v>
      </c>
      <c r="V564" s="46"/>
      <c r="W564" s="37"/>
      <c r="X564" s="37"/>
    </row>
    <row r="565" spans="1:24" ht="25.5">
      <c r="A565" s="39"/>
      <c r="B565" s="40"/>
      <c r="C565" s="39"/>
      <c r="D565" s="41"/>
      <c r="E565" s="39"/>
      <c r="F565" s="39">
        <v>122</v>
      </c>
      <c r="G565" s="39" t="s">
        <v>37</v>
      </c>
      <c r="H565" s="42"/>
      <c r="I565" s="42">
        <f>(I562-(I562*0.1))*0.05</f>
        <v>325.44000000000005</v>
      </c>
      <c r="J565" s="42">
        <v>463</v>
      </c>
      <c r="K565" s="42"/>
      <c r="L565" s="42"/>
      <c r="M565" s="42"/>
      <c r="N565" s="42">
        <f>(N562-(N562*0.1))*0.05</f>
        <v>532.35</v>
      </c>
      <c r="O565" s="42"/>
      <c r="P565" s="42"/>
      <c r="Q565" s="42">
        <f>(Q562-(Q562*0.1))*0.05</f>
        <v>532.35</v>
      </c>
      <c r="R565" s="35">
        <f t="shared" si="101"/>
        <v>100</v>
      </c>
      <c r="S565" s="42"/>
      <c r="T565" s="42">
        <f>(T562-(T562*0.1))*0.05</f>
        <v>532.35</v>
      </c>
      <c r="U565" s="42">
        <f>(U562-(U562*0.1))*0.05</f>
        <v>532.35</v>
      </c>
      <c r="V565" s="46"/>
      <c r="W565" s="37"/>
      <c r="X565" s="37"/>
    </row>
    <row r="566" spans="1:24" ht="25.5">
      <c r="A566" s="39"/>
      <c r="B566" s="40"/>
      <c r="C566" s="39"/>
      <c r="D566" s="41"/>
      <c r="E566" s="39"/>
      <c r="F566" s="39">
        <v>139</v>
      </c>
      <c r="G566" s="39" t="s">
        <v>39</v>
      </c>
      <c r="H566" s="42"/>
      <c r="I566" s="42">
        <v>3165</v>
      </c>
      <c r="J566" s="42">
        <v>3072</v>
      </c>
      <c r="K566" s="42"/>
      <c r="L566" s="42"/>
      <c r="M566" s="42"/>
      <c r="N566" s="42">
        <v>3132</v>
      </c>
      <c r="O566" s="42"/>
      <c r="P566" s="42"/>
      <c r="Q566" s="42">
        <v>2351</v>
      </c>
      <c r="R566" s="35">
        <f t="shared" si="101"/>
        <v>75.06385696040869</v>
      </c>
      <c r="S566" s="42"/>
      <c r="T566" s="47">
        <f>Q566*1.03</f>
        <v>2421.53</v>
      </c>
      <c r="U566" s="47">
        <f>T566*1.03</f>
        <v>2494.1759</v>
      </c>
      <c r="V566" s="46" t="s">
        <v>243</v>
      </c>
      <c r="W566" s="37"/>
      <c r="X566" s="37"/>
    </row>
    <row r="567" spans="1:24" ht="12.75">
      <c r="A567" s="39"/>
      <c r="B567" s="40"/>
      <c r="C567" s="39"/>
      <c r="D567" s="41"/>
      <c r="E567" s="39"/>
      <c r="F567" s="39">
        <v>142</v>
      </c>
      <c r="G567" s="39" t="s">
        <v>40</v>
      </c>
      <c r="H567" s="42"/>
      <c r="I567" s="42">
        <v>186</v>
      </c>
      <c r="J567" s="42">
        <v>102</v>
      </c>
      <c r="K567" s="42"/>
      <c r="L567" s="42"/>
      <c r="M567" s="42"/>
      <c r="N567" s="42">
        <v>103</v>
      </c>
      <c r="O567" s="42"/>
      <c r="P567" s="42"/>
      <c r="Q567" s="42">
        <f>N567+(N567*0.07)</f>
        <v>110.21000000000001</v>
      </c>
      <c r="R567" s="35">
        <f t="shared" si="101"/>
        <v>107</v>
      </c>
      <c r="S567" s="42"/>
      <c r="T567" s="47">
        <f>Q567*1.08</f>
        <v>119.02680000000002</v>
      </c>
      <c r="U567" s="47">
        <f>T567*1.08</f>
        <v>128.54894400000003</v>
      </c>
      <c r="V567" s="46"/>
      <c r="W567" s="37"/>
      <c r="X567" s="37"/>
    </row>
    <row r="568" spans="1:24" ht="38.25">
      <c r="A568" s="39"/>
      <c r="B568" s="40"/>
      <c r="C568" s="39"/>
      <c r="D568" s="41"/>
      <c r="E568" s="39"/>
      <c r="F568" s="39">
        <v>149</v>
      </c>
      <c r="G568" s="39" t="s">
        <v>43</v>
      </c>
      <c r="H568" s="42"/>
      <c r="I568" s="42">
        <v>1961</v>
      </c>
      <c r="J568" s="42">
        <v>4120</v>
      </c>
      <c r="K568" s="42"/>
      <c r="L568" s="42"/>
      <c r="M568" s="42"/>
      <c r="N568" s="42">
        <v>6638</v>
      </c>
      <c r="O568" s="42"/>
      <c r="P568" s="42"/>
      <c r="Q568" s="42">
        <f>N568*1.07-1000</f>
        <v>6102.660000000001</v>
      </c>
      <c r="R568" s="35">
        <f t="shared" si="101"/>
        <v>91.93522145224466</v>
      </c>
      <c r="S568" s="42"/>
      <c r="T568" s="47">
        <f>Q568*1.03</f>
        <v>6285.739800000001</v>
      </c>
      <c r="U568" s="47">
        <f>T568*1.03</f>
        <v>6474.3119940000015</v>
      </c>
      <c r="V568" s="46" t="s">
        <v>244</v>
      </c>
      <c r="W568" s="37"/>
      <c r="X568" s="37"/>
    </row>
    <row r="569" spans="1:24" ht="12.75">
      <c r="A569" s="39"/>
      <c r="B569" s="40"/>
      <c r="C569" s="39"/>
      <c r="D569" s="41"/>
      <c r="E569" s="39"/>
      <c r="F569" s="39">
        <v>159</v>
      </c>
      <c r="G569" s="39" t="s">
        <v>46</v>
      </c>
      <c r="H569" s="42"/>
      <c r="I569" s="42"/>
      <c r="J569" s="42">
        <f>I569+(I569*0.075)</f>
        <v>0</v>
      </c>
      <c r="K569" s="42"/>
      <c r="L569" s="42"/>
      <c r="M569" s="42"/>
      <c r="N569" s="42">
        <v>149</v>
      </c>
      <c r="O569" s="42"/>
      <c r="P569" s="42"/>
      <c r="Q569" s="42"/>
      <c r="R569" s="35">
        <f t="shared" si="101"/>
        <v>0</v>
      </c>
      <c r="S569" s="42"/>
      <c r="T569" s="47"/>
      <c r="U569" s="35"/>
      <c r="V569" s="46"/>
      <c r="W569" s="37"/>
      <c r="X569" s="37"/>
    </row>
    <row r="570" spans="1:24" ht="25.5">
      <c r="A570" s="39"/>
      <c r="B570" s="40"/>
      <c r="C570" s="39"/>
      <c r="D570" s="41">
        <v>6</v>
      </c>
      <c r="E570" s="39" t="s">
        <v>67</v>
      </c>
      <c r="F570" s="39"/>
      <c r="G570" s="45" t="s">
        <v>245</v>
      </c>
      <c r="H570" s="42">
        <f aca="true" t="shared" si="111" ref="H570:U570">H571+H572+H573</f>
        <v>7885</v>
      </c>
      <c r="I570" s="42">
        <f t="shared" si="111"/>
        <v>12515.8</v>
      </c>
      <c r="J570" s="42">
        <f t="shared" si="111"/>
        <v>19204</v>
      </c>
      <c r="K570" s="42"/>
      <c r="L570" s="42">
        <v>14329</v>
      </c>
      <c r="M570" s="42"/>
      <c r="N570" s="42">
        <f t="shared" si="111"/>
        <v>19330</v>
      </c>
      <c r="O570" s="42">
        <f t="shared" si="111"/>
        <v>0</v>
      </c>
      <c r="P570" s="42"/>
      <c r="Q570" s="42">
        <f t="shared" si="111"/>
        <v>19909.9</v>
      </c>
      <c r="R570" s="35">
        <f t="shared" si="101"/>
        <v>103</v>
      </c>
      <c r="S570" s="42"/>
      <c r="T570" s="42">
        <f t="shared" si="111"/>
        <v>20507.197000000004</v>
      </c>
      <c r="U570" s="42">
        <f t="shared" si="111"/>
        <v>21122.412910000003</v>
      </c>
      <c r="V570" s="46"/>
      <c r="W570" s="37">
        <f aca="true" t="shared" si="112" ref="W570:W577">J570/I570*100</f>
        <v>153.4380542993656</v>
      </c>
      <c r="X570" s="37">
        <f aca="true" t="shared" si="113" ref="X570:X578">N570/J570*100</f>
        <v>100.65611330972715</v>
      </c>
    </row>
    <row r="571" spans="1:24" ht="12.75">
      <c r="A571" s="39"/>
      <c r="B571" s="40"/>
      <c r="C571" s="39"/>
      <c r="D571" s="41"/>
      <c r="E571" s="39"/>
      <c r="F571" s="39">
        <v>139</v>
      </c>
      <c r="G571" s="39" t="s">
        <v>39</v>
      </c>
      <c r="H571" s="42">
        <v>228</v>
      </c>
      <c r="I571" s="42">
        <f aca="true" t="shared" si="114" ref="I571:I576">H571+(H571*0.08)</f>
        <v>246.24</v>
      </c>
      <c r="J571" s="42">
        <v>277</v>
      </c>
      <c r="K571" s="42"/>
      <c r="L571" s="42"/>
      <c r="M571" s="42"/>
      <c r="N571" s="42">
        <v>3000</v>
      </c>
      <c r="O571" s="42"/>
      <c r="P571" s="42"/>
      <c r="Q571" s="42">
        <f>N571*1.03</f>
        <v>3090</v>
      </c>
      <c r="R571" s="35">
        <f t="shared" si="101"/>
        <v>103</v>
      </c>
      <c r="S571" s="42"/>
      <c r="T571" s="47">
        <f>Q571*1.03</f>
        <v>3182.7000000000003</v>
      </c>
      <c r="U571" s="47">
        <f>T571*1.03</f>
        <v>3278.1810000000005</v>
      </c>
      <c r="V571" s="46"/>
      <c r="W571" s="37">
        <f t="shared" si="112"/>
        <v>112.49187784275503</v>
      </c>
      <c r="X571" s="37">
        <f t="shared" si="113"/>
        <v>1083.0324909747292</v>
      </c>
    </row>
    <row r="572" spans="1:24" ht="12.75">
      <c r="A572" s="39"/>
      <c r="B572" s="40"/>
      <c r="C572" s="39"/>
      <c r="D572" s="41"/>
      <c r="E572" s="39"/>
      <c r="F572" s="39">
        <v>149</v>
      </c>
      <c r="G572" s="39" t="s">
        <v>43</v>
      </c>
      <c r="H572" s="42">
        <v>5325</v>
      </c>
      <c r="I572" s="42">
        <f>H572+(H572*0.08)+4000</f>
        <v>9751</v>
      </c>
      <c r="J572" s="42">
        <v>15041</v>
      </c>
      <c r="K572" s="42"/>
      <c r="L572" s="42"/>
      <c r="M572" s="42"/>
      <c r="N572" s="42">
        <v>16330</v>
      </c>
      <c r="O572" s="42"/>
      <c r="P572" s="42"/>
      <c r="Q572" s="42">
        <f>N572*1.03</f>
        <v>16819.9</v>
      </c>
      <c r="R572" s="35">
        <f t="shared" si="101"/>
        <v>103</v>
      </c>
      <c r="S572" s="42"/>
      <c r="T572" s="47">
        <f>Q572*1.03</f>
        <v>17324.497000000003</v>
      </c>
      <c r="U572" s="47">
        <f>T572*1.03</f>
        <v>17844.231910000002</v>
      </c>
      <c r="V572" s="48"/>
      <c r="W572" s="37">
        <f t="shared" si="112"/>
        <v>154.25084606707006</v>
      </c>
      <c r="X572" s="37">
        <f t="shared" si="113"/>
        <v>108.5699089156306</v>
      </c>
    </row>
    <row r="573" spans="1:24" ht="12.75">
      <c r="A573" s="39"/>
      <c r="B573" s="40"/>
      <c r="C573" s="39"/>
      <c r="D573" s="41"/>
      <c r="E573" s="39"/>
      <c r="F573" s="39">
        <v>159</v>
      </c>
      <c r="G573" s="39" t="s">
        <v>46</v>
      </c>
      <c r="H573" s="42">
        <v>2332</v>
      </c>
      <c r="I573" s="42">
        <f t="shared" si="114"/>
        <v>2518.56</v>
      </c>
      <c r="J573" s="42">
        <v>3886</v>
      </c>
      <c r="K573" s="42"/>
      <c r="L573" s="42"/>
      <c r="M573" s="42"/>
      <c r="N573" s="42"/>
      <c r="O573" s="42"/>
      <c r="P573" s="42"/>
      <c r="Q573" s="42">
        <f>N573+(N573*0.07)</f>
        <v>0</v>
      </c>
      <c r="R573" s="35" t="e">
        <f t="shared" si="101"/>
        <v>#DIV/0!</v>
      </c>
      <c r="S573" s="42"/>
      <c r="T573" s="47">
        <f>Q573*1.06</f>
        <v>0</v>
      </c>
      <c r="U573" s="35"/>
      <c r="V573" s="46"/>
      <c r="W573" s="37">
        <f t="shared" si="112"/>
        <v>154.29451750206468</v>
      </c>
      <c r="X573" s="37">
        <f t="shared" si="113"/>
        <v>0</v>
      </c>
    </row>
    <row r="574" spans="1:24" ht="51">
      <c r="A574" s="39"/>
      <c r="B574" s="40"/>
      <c r="C574" s="39"/>
      <c r="D574" s="41">
        <v>7</v>
      </c>
      <c r="E574" s="39" t="s">
        <v>67</v>
      </c>
      <c r="F574" s="39"/>
      <c r="G574" s="45" t="s">
        <v>246</v>
      </c>
      <c r="H574" s="42">
        <f>H575+H576+H577</f>
        <v>2774</v>
      </c>
      <c r="I574" s="42">
        <f>I575+I576+I577</f>
        <v>6995.92</v>
      </c>
      <c r="J574" s="42">
        <f>J575+J577+J576</f>
        <v>15548</v>
      </c>
      <c r="K574" s="42"/>
      <c r="L574" s="42"/>
      <c r="M574" s="42"/>
      <c r="N574" s="42">
        <f>N575+N576+N577</f>
        <v>13010</v>
      </c>
      <c r="O574" s="42">
        <f aca="true" t="shared" si="115" ref="O574:U574">O575+O576+O577</f>
        <v>0</v>
      </c>
      <c r="P574" s="42"/>
      <c r="Q574" s="42">
        <f t="shared" si="115"/>
        <v>13401.86</v>
      </c>
      <c r="R574" s="35">
        <f t="shared" si="101"/>
        <v>103.0119907763259</v>
      </c>
      <c r="S574" s="42"/>
      <c r="T574" s="42">
        <f t="shared" si="115"/>
        <v>13803.915800000002</v>
      </c>
      <c r="U574" s="42">
        <f t="shared" si="115"/>
        <v>14220.182369000002</v>
      </c>
      <c r="V574" s="46"/>
      <c r="W574" s="37">
        <f t="shared" si="112"/>
        <v>222.24382211346042</v>
      </c>
      <c r="X574" s="37">
        <f t="shared" si="113"/>
        <v>83.67635708772832</v>
      </c>
    </row>
    <row r="575" spans="1:24" ht="12.75">
      <c r="A575" s="39"/>
      <c r="B575" s="40"/>
      <c r="C575" s="39"/>
      <c r="D575" s="41"/>
      <c r="E575" s="39"/>
      <c r="F575" s="39">
        <v>139</v>
      </c>
      <c r="G575" s="39" t="s">
        <v>39</v>
      </c>
      <c r="H575" s="42">
        <v>95</v>
      </c>
      <c r="I575" s="42">
        <f t="shared" si="114"/>
        <v>102.6</v>
      </c>
      <c r="J575" s="42"/>
      <c r="K575" s="42"/>
      <c r="L575" s="42"/>
      <c r="M575" s="42"/>
      <c r="N575" s="42"/>
      <c r="O575" s="42"/>
      <c r="P575" s="42"/>
      <c r="Q575" s="42">
        <f>N575+(N575*0.07)</f>
        <v>0</v>
      </c>
      <c r="R575" s="35" t="e">
        <f t="shared" si="101"/>
        <v>#DIV/0!</v>
      </c>
      <c r="S575" s="42"/>
      <c r="T575" s="47">
        <f>Q575*1.06</f>
        <v>0</v>
      </c>
      <c r="U575" s="35"/>
      <c r="V575" s="46"/>
      <c r="W575" s="37">
        <f t="shared" si="112"/>
        <v>0</v>
      </c>
      <c r="X575" s="37" t="e">
        <f t="shared" si="113"/>
        <v>#DIV/0!</v>
      </c>
    </row>
    <row r="576" spans="1:24" ht="12.75">
      <c r="A576" s="39"/>
      <c r="B576" s="40"/>
      <c r="C576" s="39"/>
      <c r="D576" s="41"/>
      <c r="E576" s="39"/>
      <c r="F576" s="39">
        <v>149</v>
      </c>
      <c r="G576" s="39" t="s">
        <v>43</v>
      </c>
      <c r="H576" s="42">
        <v>9</v>
      </c>
      <c r="I576" s="42">
        <f t="shared" si="114"/>
        <v>9.72</v>
      </c>
      <c r="J576" s="42">
        <v>47</v>
      </c>
      <c r="K576" s="42"/>
      <c r="L576" s="42"/>
      <c r="M576" s="42"/>
      <c r="N576" s="42">
        <v>39</v>
      </c>
      <c r="O576" s="42"/>
      <c r="P576" s="42"/>
      <c r="Q576" s="42">
        <f>N576*1.07</f>
        <v>41.730000000000004</v>
      </c>
      <c r="R576" s="35">
        <f t="shared" si="101"/>
        <v>107</v>
      </c>
      <c r="S576" s="42"/>
      <c r="T576" s="47">
        <f>Q576*1.03</f>
        <v>42.9819</v>
      </c>
      <c r="U576" s="47">
        <f>T576*1.08</f>
        <v>46.420452000000004</v>
      </c>
      <c r="V576" s="46"/>
      <c r="W576" s="37">
        <f t="shared" si="112"/>
        <v>483.53909465020575</v>
      </c>
      <c r="X576" s="37">
        <f t="shared" si="113"/>
        <v>82.97872340425532</v>
      </c>
    </row>
    <row r="577" spans="1:24" ht="12.75">
      <c r="A577" s="39"/>
      <c r="B577" s="40"/>
      <c r="C577" s="39"/>
      <c r="D577" s="41"/>
      <c r="E577" s="39"/>
      <c r="F577" s="39">
        <v>159</v>
      </c>
      <c r="G577" s="39" t="s">
        <v>46</v>
      </c>
      <c r="H577" s="42">
        <v>2670</v>
      </c>
      <c r="I577" s="42">
        <f>H577+(H577*0.08)+4000</f>
        <v>6883.6</v>
      </c>
      <c r="J577" s="42">
        <v>15501</v>
      </c>
      <c r="K577" s="42"/>
      <c r="L577" s="42"/>
      <c r="M577" s="42"/>
      <c r="N577" s="42">
        <v>12971</v>
      </c>
      <c r="O577" s="42"/>
      <c r="P577" s="42"/>
      <c r="Q577" s="42">
        <f>N577*1.03</f>
        <v>13360.130000000001</v>
      </c>
      <c r="R577" s="35">
        <f t="shared" si="101"/>
        <v>103</v>
      </c>
      <c r="S577" s="42"/>
      <c r="T577" s="47">
        <f>Q577*1.03</f>
        <v>13760.933900000002</v>
      </c>
      <c r="U577" s="47">
        <f>T577*1.03</f>
        <v>14173.761917000002</v>
      </c>
      <c r="V577" s="46"/>
      <c r="W577" s="37">
        <f t="shared" si="112"/>
        <v>225.1874019408449</v>
      </c>
      <c r="X577" s="37">
        <f t="shared" si="113"/>
        <v>83.67847235662215</v>
      </c>
    </row>
    <row r="578" spans="1:24" ht="12.75">
      <c r="A578" s="39"/>
      <c r="B578" s="40"/>
      <c r="C578" s="39">
        <v>467</v>
      </c>
      <c r="D578" s="41"/>
      <c r="E578" s="39"/>
      <c r="F578" s="39"/>
      <c r="G578" s="31" t="s">
        <v>149</v>
      </c>
      <c r="H578" s="42"/>
      <c r="I578" s="42"/>
      <c r="J578" s="42">
        <f>J579</f>
        <v>39472</v>
      </c>
      <c r="K578" s="42"/>
      <c r="L578" s="42"/>
      <c r="M578" s="42"/>
      <c r="N578" s="42"/>
      <c r="O578" s="42"/>
      <c r="P578" s="42"/>
      <c r="Q578" s="42"/>
      <c r="R578" s="35" t="e">
        <f t="shared" si="101"/>
        <v>#DIV/0!</v>
      </c>
      <c r="S578" s="42"/>
      <c r="T578" s="47"/>
      <c r="U578" s="35"/>
      <c r="V578" s="46"/>
      <c r="W578" s="37"/>
      <c r="X578" s="37">
        <f t="shared" si="113"/>
        <v>0</v>
      </c>
    </row>
    <row r="579" spans="1:24" ht="12.75">
      <c r="A579" s="39"/>
      <c r="B579" s="40"/>
      <c r="C579" s="39"/>
      <c r="D579" s="41">
        <v>8</v>
      </c>
      <c r="E579" s="39"/>
      <c r="F579" s="39"/>
      <c r="G579" s="45" t="s">
        <v>247</v>
      </c>
      <c r="H579" s="42"/>
      <c r="I579" s="42"/>
      <c r="J579" s="42">
        <f>J580</f>
        <v>39472</v>
      </c>
      <c r="K579" s="42"/>
      <c r="L579" s="42"/>
      <c r="M579" s="42"/>
      <c r="N579" s="42"/>
      <c r="O579" s="42"/>
      <c r="P579" s="42"/>
      <c r="Q579" s="42"/>
      <c r="R579" s="35" t="e">
        <f t="shared" si="101"/>
        <v>#DIV/0!</v>
      </c>
      <c r="S579" s="42"/>
      <c r="T579" s="47"/>
      <c r="U579" s="35"/>
      <c r="V579" s="46"/>
      <c r="W579" s="37"/>
      <c r="X579" s="37"/>
    </row>
    <row r="580" spans="1:24" ht="12.75">
      <c r="A580" s="39"/>
      <c r="B580" s="40"/>
      <c r="C580" s="39"/>
      <c r="D580" s="41"/>
      <c r="E580" s="39" t="s">
        <v>106</v>
      </c>
      <c r="F580" s="39"/>
      <c r="G580" s="67" t="s">
        <v>107</v>
      </c>
      <c r="H580" s="42"/>
      <c r="I580" s="42"/>
      <c r="J580" s="42">
        <f>J581</f>
        <v>39472</v>
      </c>
      <c r="K580" s="42"/>
      <c r="L580" s="42"/>
      <c r="M580" s="42"/>
      <c r="N580" s="42"/>
      <c r="O580" s="42"/>
      <c r="P580" s="42"/>
      <c r="Q580" s="42"/>
      <c r="R580" s="35" t="e">
        <f t="shared" si="101"/>
        <v>#DIV/0!</v>
      </c>
      <c r="S580" s="42"/>
      <c r="T580" s="47"/>
      <c r="U580" s="35"/>
      <c r="V580" s="46"/>
      <c r="W580" s="37"/>
      <c r="X580" s="37"/>
    </row>
    <row r="581" spans="1:24" ht="12.75">
      <c r="A581" s="39"/>
      <c r="B581" s="40"/>
      <c r="C581" s="39"/>
      <c r="D581" s="41"/>
      <c r="E581" s="39"/>
      <c r="F581" s="39">
        <v>421</v>
      </c>
      <c r="G581" s="39" t="s">
        <v>152</v>
      </c>
      <c r="H581" s="42"/>
      <c r="I581" s="42"/>
      <c r="J581" s="42">
        <v>39472</v>
      </c>
      <c r="K581" s="42"/>
      <c r="L581" s="42"/>
      <c r="M581" s="42"/>
      <c r="N581" s="42"/>
      <c r="O581" s="42"/>
      <c r="P581" s="42"/>
      <c r="Q581" s="42"/>
      <c r="R581" s="35" t="e">
        <f t="shared" si="101"/>
        <v>#DIV/0!</v>
      </c>
      <c r="S581" s="42"/>
      <c r="T581" s="47"/>
      <c r="U581" s="35"/>
      <c r="V581" s="46"/>
      <c r="W581" s="37"/>
      <c r="X581" s="37"/>
    </row>
    <row r="582" spans="1:24" ht="25.5">
      <c r="A582" s="39"/>
      <c r="B582" s="40" t="s">
        <v>219</v>
      </c>
      <c r="C582" s="39"/>
      <c r="D582" s="41"/>
      <c r="E582" s="39"/>
      <c r="F582" s="39"/>
      <c r="G582" s="39" t="s">
        <v>248</v>
      </c>
      <c r="H582" s="42">
        <f aca="true" t="shared" si="116" ref="H582:U582">H583+H604</f>
        <v>81339</v>
      </c>
      <c r="I582" s="42">
        <f t="shared" si="116"/>
        <v>88212.79199999999</v>
      </c>
      <c r="J582" s="42">
        <f t="shared" si="116"/>
        <v>114278.6936</v>
      </c>
      <c r="K582" s="42"/>
      <c r="L582" s="42"/>
      <c r="M582" s="42"/>
      <c r="N582" s="42">
        <f t="shared" si="116"/>
        <v>111062.751012</v>
      </c>
      <c r="O582" s="42"/>
      <c r="P582" s="42"/>
      <c r="Q582" s="42">
        <f t="shared" si="116"/>
        <v>113907.28090284</v>
      </c>
      <c r="R582" s="35">
        <f t="shared" si="101"/>
        <v>102.5611916370887</v>
      </c>
      <c r="S582" s="42"/>
      <c r="T582" s="42">
        <f t="shared" si="116"/>
        <v>251290.71745506718</v>
      </c>
      <c r="U582" s="42">
        <f t="shared" si="116"/>
        <v>122167.86893147259</v>
      </c>
      <c r="V582" s="46"/>
      <c r="W582" s="37">
        <f aca="true" t="shared" si="117" ref="W582:W590">J582/I582*100</f>
        <v>129.54889082299994</v>
      </c>
      <c r="X582" s="37">
        <f aca="true" t="shared" si="118" ref="X582:X590">N582/J582*100</f>
        <v>97.18587736113217</v>
      </c>
    </row>
    <row r="583" spans="1:24" ht="25.5">
      <c r="A583" s="39"/>
      <c r="B583" s="40"/>
      <c r="C583" s="39">
        <v>455</v>
      </c>
      <c r="D583" s="41"/>
      <c r="E583" s="39"/>
      <c r="F583" s="39"/>
      <c r="G583" s="39" t="s">
        <v>231</v>
      </c>
      <c r="H583" s="42">
        <f aca="true" t="shared" si="119" ref="H583:U583">H584+H602</f>
        <v>58748</v>
      </c>
      <c r="I583" s="42">
        <f t="shared" si="119"/>
        <v>62734.511999999995</v>
      </c>
      <c r="J583" s="42">
        <f t="shared" si="119"/>
        <v>81765.6936</v>
      </c>
      <c r="K583" s="42"/>
      <c r="L583" s="42"/>
      <c r="M583" s="42"/>
      <c r="N583" s="42">
        <f t="shared" si="119"/>
        <v>81228.751012</v>
      </c>
      <c r="O583" s="42"/>
      <c r="P583" s="42"/>
      <c r="Q583" s="42">
        <f t="shared" si="119"/>
        <v>81984.90090283999</v>
      </c>
      <c r="R583" s="35">
        <f t="shared" si="101"/>
        <v>100.93088947130097</v>
      </c>
      <c r="S583" s="42"/>
      <c r="T583" s="42">
        <f t="shared" si="119"/>
        <v>216814.54705506717</v>
      </c>
      <c r="U583" s="42">
        <f t="shared" si="119"/>
        <v>84933.60489947259</v>
      </c>
      <c r="V583" s="46"/>
      <c r="W583" s="37">
        <f t="shared" si="117"/>
        <v>130.33606382400808</v>
      </c>
      <c r="X583" s="37">
        <f t="shared" si="118"/>
        <v>99.3433155589351</v>
      </c>
    </row>
    <row r="584" spans="1:24" ht="25.5">
      <c r="A584" s="39"/>
      <c r="B584" s="40"/>
      <c r="C584" s="39"/>
      <c r="D584" s="41">
        <v>6</v>
      </c>
      <c r="E584" s="39" t="s">
        <v>67</v>
      </c>
      <c r="F584" s="39"/>
      <c r="G584" s="45" t="s">
        <v>249</v>
      </c>
      <c r="H584" s="42">
        <f>H585+H586+H587+H588+H589+H590+H595+H596+H597+H598+H599+H600+H601</f>
        <v>56937</v>
      </c>
      <c r="I584" s="42">
        <f>SUM(I585:I600)</f>
        <v>60778.632</v>
      </c>
      <c r="J584" s="42">
        <f>SUM(J585:J590,J595:J601)</f>
        <v>79672.902</v>
      </c>
      <c r="K584" s="42">
        <f aca="true" t="shared" si="120" ref="K584:U584">SUM(K585:K590,K595:K601)</f>
        <v>0</v>
      </c>
      <c r="L584" s="42">
        <f t="shared" si="120"/>
        <v>0</v>
      </c>
      <c r="M584" s="42">
        <f t="shared" si="120"/>
        <v>0</v>
      </c>
      <c r="N584" s="42">
        <f t="shared" si="120"/>
        <v>78989.46399999999</v>
      </c>
      <c r="O584" s="42">
        <f t="shared" si="120"/>
        <v>0</v>
      </c>
      <c r="P584" s="42"/>
      <c r="Q584" s="42">
        <f t="shared" si="120"/>
        <v>79588.86379999999</v>
      </c>
      <c r="R584" s="35">
        <f t="shared" si="101"/>
        <v>100.75883512768233</v>
      </c>
      <c r="S584" s="42"/>
      <c r="T584" s="42">
        <f t="shared" si="120"/>
        <v>214226.82698399998</v>
      </c>
      <c r="U584" s="42">
        <f t="shared" si="120"/>
        <v>82138.86722272001</v>
      </c>
      <c r="V584" s="46"/>
      <c r="W584" s="37">
        <f t="shared" si="117"/>
        <v>131.0870274276657</v>
      </c>
      <c r="X584" s="37">
        <f t="shared" si="118"/>
        <v>99.14219517195444</v>
      </c>
    </row>
    <row r="585" spans="1:24" ht="12.75">
      <c r="A585" s="39"/>
      <c r="B585" s="40"/>
      <c r="C585" s="39"/>
      <c r="D585" s="41"/>
      <c r="E585" s="39"/>
      <c r="F585" s="39">
        <v>111</v>
      </c>
      <c r="G585" s="39" t="s">
        <v>33</v>
      </c>
      <c r="H585" s="42">
        <v>32868</v>
      </c>
      <c r="I585" s="42">
        <v>37168</v>
      </c>
      <c r="J585" s="42">
        <v>48898</v>
      </c>
      <c r="K585" s="42"/>
      <c r="L585" s="42"/>
      <c r="M585" s="42"/>
      <c r="N585" s="42">
        <v>55276</v>
      </c>
      <c r="O585" s="42"/>
      <c r="P585" s="42"/>
      <c r="Q585" s="42">
        <v>55276</v>
      </c>
      <c r="R585" s="35">
        <f t="shared" si="101"/>
        <v>100</v>
      </c>
      <c r="S585" s="42"/>
      <c r="T585" s="42">
        <f>55276</f>
        <v>55276</v>
      </c>
      <c r="U585" s="42">
        <v>55276</v>
      </c>
      <c r="V585" s="46"/>
      <c r="W585" s="37">
        <f t="shared" si="117"/>
        <v>131.55940594059405</v>
      </c>
      <c r="X585" s="37">
        <f t="shared" si="118"/>
        <v>113.04347826086956</v>
      </c>
    </row>
    <row r="586" spans="1:24" ht="12.75">
      <c r="A586" s="39"/>
      <c r="B586" s="40"/>
      <c r="C586" s="39"/>
      <c r="D586" s="41"/>
      <c r="E586" s="39"/>
      <c r="F586" s="39">
        <v>113</v>
      </c>
      <c r="G586" s="39" t="s">
        <v>35</v>
      </c>
      <c r="H586" s="42">
        <v>2293</v>
      </c>
      <c r="I586" s="42">
        <v>2407</v>
      </c>
      <c r="J586" s="42">
        <v>3516</v>
      </c>
      <c r="K586" s="42"/>
      <c r="L586" s="42"/>
      <c r="M586" s="42"/>
      <c r="N586" s="42">
        <f>J586</f>
        <v>3516</v>
      </c>
      <c r="O586" s="42"/>
      <c r="P586" s="42"/>
      <c r="Q586" s="42">
        <f>N586</f>
        <v>3516</v>
      </c>
      <c r="R586" s="35">
        <f t="shared" si="101"/>
        <v>100</v>
      </c>
      <c r="S586" s="42"/>
      <c r="T586" s="42">
        <f>Q586</f>
        <v>3516</v>
      </c>
      <c r="U586" s="42">
        <f>T586</f>
        <v>3516</v>
      </c>
      <c r="V586" s="46"/>
      <c r="W586" s="37">
        <f t="shared" si="117"/>
        <v>146.07395097631908</v>
      </c>
      <c r="X586" s="37">
        <f t="shared" si="118"/>
        <v>100</v>
      </c>
    </row>
    <row r="587" spans="1:24" ht="12.75">
      <c r="A587" s="39"/>
      <c r="B587" s="40"/>
      <c r="C587" s="39"/>
      <c r="D587" s="41"/>
      <c r="E587" s="39"/>
      <c r="F587" s="39">
        <v>121</v>
      </c>
      <c r="G587" s="39" t="s">
        <v>36</v>
      </c>
      <c r="H587" s="42">
        <v>2071</v>
      </c>
      <c r="I587" s="42">
        <f>(I585-(I585*0.1))*0.06</f>
        <v>2007.0719999999997</v>
      </c>
      <c r="J587" s="42">
        <f>(J585-(J585*0.1))*0.06</f>
        <v>2640.4919999999997</v>
      </c>
      <c r="K587" s="42"/>
      <c r="L587" s="42"/>
      <c r="M587" s="42"/>
      <c r="N587" s="42">
        <f>(N585-(N585*0.1))*0.06</f>
        <v>2984.904</v>
      </c>
      <c r="O587" s="42"/>
      <c r="P587" s="42"/>
      <c r="Q587" s="42">
        <f>(Q585-(Q585*0.1))*0.06</f>
        <v>2984.904</v>
      </c>
      <c r="R587" s="35">
        <f aca="true" t="shared" si="121" ref="R587:R650">Q587/N587*100</f>
        <v>100</v>
      </c>
      <c r="S587" s="42"/>
      <c r="T587" s="42">
        <f>(T585-(T585*0.1))*0.06</f>
        <v>2984.904</v>
      </c>
      <c r="U587" s="42">
        <f>(U585-(U585*0.1))*0.06</f>
        <v>2984.904</v>
      </c>
      <c r="V587" s="61"/>
      <c r="W587" s="37">
        <f t="shared" si="117"/>
        <v>131.55940594059408</v>
      </c>
      <c r="X587" s="37">
        <f t="shared" si="118"/>
        <v>113.04347826086958</v>
      </c>
    </row>
    <row r="588" spans="1:24" ht="25.5">
      <c r="A588" s="39"/>
      <c r="B588" s="40"/>
      <c r="C588" s="39"/>
      <c r="D588" s="41"/>
      <c r="E588" s="39"/>
      <c r="F588" s="39">
        <v>122</v>
      </c>
      <c r="G588" s="39" t="s">
        <v>37</v>
      </c>
      <c r="H588" s="42">
        <v>1183</v>
      </c>
      <c r="I588" s="42">
        <f>(I585-(I585*0.1))*0.05</f>
        <v>1672.56</v>
      </c>
      <c r="J588" s="42">
        <f>(J585-(J585*0.1))*0.05</f>
        <v>2200.41</v>
      </c>
      <c r="K588" s="42"/>
      <c r="L588" s="42"/>
      <c r="M588" s="42"/>
      <c r="N588" s="42">
        <f>(N585-(N585*0.1))*0.05</f>
        <v>2487.42</v>
      </c>
      <c r="O588" s="42"/>
      <c r="P588" s="42"/>
      <c r="Q588" s="42">
        <f>(Q585-(Q585*0.1))*0.05</f>
        <v>2487.42</v>
      </c>
      <c r="R588" s="35">
        <f t="shared" si="121"/>
        <v>100</v>
      </c>
      <c r="S588" s="42"/>
      <c r="T588" s="42">
        <f>(T585-(T585*0.1))*0.05</f>
        <v>2487.42</v>
      </c>
      <c r="U588" s="42">
        <f>(U585-(U585*0.1))*0.05</f>
        <v>2487.42</v>
      </c>
      <c r="V588" s="61"/>
      <c r="W588" s="37">
        <f t="shared" si="117"/>
        <v>131.55940594059405</v>
      </c>
      <c r="X588" s="37">
        <f t="shared" si="118"/>
        <v>113.04347826086958</v>
      </c>
    </row>
    <row r="589" spans="1:24" ht="12.75">
      <c r="A589" s="39"/>
      <c r="B589" s="40"/>
      <c r="C589" s="39"/>
      <c r="D589" s="41"/>
      <c r="E589" s="39"/>
      <c r="F589" s="39">
        <v>139</v>
      </c>
      <c r="G589" s="39" t="s">
        <v>39</v>
      </c>
      <c r="H589" s="42">
        <v>5571</v>
      </c>
      <c r="I589" s="42">
        <v>5595</v>
      </c>
      <c r="J589" s="42">
        <v>4812</v>
      </c>
      <c r="K589" s="42"/>
      <c r="L589" s="42"/>
      <c r="M589" s="42"/>
      <c r="N589" s="42">
        <v>3784</v>
      </c>
      <c r="O589" s="42"/>
      <c r="P589" s="42"/>
      <c r="Q589" s="42">
        <f>N589+(N589*0.03)</f>
        <v>3897.52</v>
      </c>
      <c r="R589" s="35">
        <f t="shared" si="121"/>
        <v>103</v>
      </c>
      <c r="S589" s="42"/>
      <c r="T589" s="47">
        <f>Q589*1.08</f>
        <v>4209.3216</v>
      </c>
      <c r="U589" s="47">
        <f>T589*1.08</f>
        <v>4546.067328</v>
      </c>
      <c r="V589" s="46"/>
      <c r="W589" s="37">
        <f t="shared" si="117"/>
        <v>86.00536193029491</v>
      </c>
      <c r="X589" s="37">
        <f t="shared" si="118"/>
        <v>78.63674147963424</v>
      </c>
    </row>
    <row r="590" spans="1:24" ht="12.75">
      <c r="A590" s="39"/>
      <c r="B590" s="40"/>
      <c r="C590" s="39"/>
      <c r="D590" s="41"/>
      <c r="E590" s="39"/>
      <c r="F590" s="39">
        <v>141</v>
      </c>
      <c r="G590" s="39" t="s">
        <v>60</v>
      </c>
      <c r="H590" s="42">
        <v>1857</v>
      </c>
      <c r="I590" s="42">
        <v>4780</v>
      </c>
      <c r="J590" s="42">
        <f>SUM(J592:J594)</f>
        <v>4767</v>
      </c>
      <c r="K590" s="42"/>
      <c r="L590" s="42"/>
      <c r="M590" s="42"/>
      <c r="N590" s="42">
        <f>SUM(N592:N594)</f>
        <v>4519</v>
      </c>
      <c r="O590" s="42"/>
      <c r="P590" s="42"/>
      <c r="Q590" s="42">
        <f aca="true" t="shared" si="122" ref="Q590:Q599">N590+(N590*0.07)</f>
        <v>4835.33</v>
      </c>
      <c r="R590" s="35">
        <f t="shared" si="121"/>
        <v>107</v>
      </c>
      <c r="S590" s="42"/>
      <c r="T590" s="47">
        <f>Q590*1.08</f>
        <v>5222.1564</v>
      </c>
      <c r="U590" s="47">
        <f aca="true" t="shared" si="123" ref="U590:U600">T590*1.08</f>
        <v>5639.928912</v>
      </c>
      <c r="V590" s="61"/>
      <c r="W590" s="37">
        <f t="shared" si="117"/>
        <v>99.72803347280335</v>
      </c>
      <c r="X590" s="37">
        <f t="shared" si="118"/>
        <v>94.79756660373401</v>
      </c>
    </row>
    <row r="591" spans="1:24" ht="12.75">
      <c r="A591" s="39"/>
      <c r="B591" s="40"/>
      <c r="C591" s="39"/>
      <c r="D591" s="41"/>
      <c r="E591" s="39"/>
      <c r="F591" s="39"/>
      <c r="G591" s="39" t="s">
        <v>58</v>
      </c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35" t="e">
        <f t="shared" si="121"/>
        <v>#DIV/0!</v>
      </c>
      <c r="S591" s="42"/>
      <c r="T591" s="47"/>
      <c r="U591" s="47"/>
      <c r="V591" s="61"/>
      <c r="W591" s="37"/>
      <c r="X591" s="37"/>
    </row>
    <row r="592" spans="1:24" ht="12.75">
      <c r="A592" s="39"/>
      <c r="B592" s="40"/>
      <c r="C592" s="39"/>
      <c r="D592" s="41"/>
      <c r="E592" s="39"/>
      <c r="F592" s="39"/>
      <c r="G592" s="39" t="s">
        <v>64</v>
      </c>
      <c r="H592" s="42"/>
      <c r="I592" s="42"/>
      <c r="J592" s="42">
        <v>326</v>
      </c>
      <c r="K592" s="42"/>
      <c r="L592" s="42"/>
      <c r="M592" s="42"/>
      <c r="N592" s="42">
        <v>455</v>
      </c>
      <c r="O592" s="42"/>
      <c r="P592" s="42"/>
      <c r="Q592" s="42"/>
      <c r="R592" s="35">
        <f t="shared" si="121"/>
        <v>0</v>
      </c>
      <c r="S592" s="42"/>
      <c r="T592" s="47"/>
      <c r="U592" s="47"/>
      <c r="V592" s="61"/>
      <c r="W592" s="37"/>
      <c r="X592" s="37"/>
    </row>
    <row r="593" spans="1:24" ht="12.75">
      <c r="A593" s="39"/>
      <c r="B593" s="40"/>
      <c r="C593" s="39"/>
      <c r="D593" s="41"/>
      <c r="E593" s="39"/>
      <c r="F593" s="39"/>
      <c r="G593" s="39" t="s">
        <v>65</v>
      </c>
      <c r="H593" s="42"/>
      <c r="I593" s="42"/>
      <c r="J593" s="42">
        <v>455</v>
      </c>
      <c r="K593" s="42"/>
      <c r="L593" s="42"/>
      <c r="M593" s="42"/>
      <c r="N593" s="42">
        <v>283</v>
      </c>
      <c r="O593" s="42"/>
      <c r="P593" s="42"/>
      <c r="Q593" s="42"/>
      <c r="R593" s="35">
        <f t="shared" si="121"/>
        <v>0</v>
      </c>
      <c r="S593" s="42"/>
      <c r="T593" s="47"/>
      <c r="U593" s="47"/>
      <c r="V593" s="61"/>
      <c r="W593" s="37"/>
      <c r="X593" s="37"/>
    </row>
    <row r="594" spans="1:24" ht="12.75">
      <c r="A594" s="39"/>
      <c r="B594" s="40"/>
      <c r="C594" s="39"/>
      <c r="D594" s="41"/>
      <c r="E594" s="39"/>
      <c r="F594" s="39"/>
      <c r="G594" s="39" t="s">
        <v>66</v>
      </c>
      <c r="H594" s="42"/>
      <c r="I594" s="42"/>
      <c r="J594" s="42">
        <v>3986</v>
      </c>
      <c r="K594" s="42"/>
      <c r="L594" s="42"/>
      <c r="M594" s="42"/>
      <c r="N594" s="42">
        <v>3781</v>
      </c>
      <c r="O594" s="42"/>
      <c r="P594" s="42"/>
      <c r="Q594" s="42"/>
      <c r="R594" s="35">
        <f t="shared" si="121"/>
        <v>0</v>
      </c>
      <c r="S594" s="42"/>
      <c r="T594" s="47"/>
      <c r="U594" s="47"/>
      <c r="V594" s="61"/>
      <c r="W594" s="37"/>
      <c r="X594" s="37"/>
    </row>
    <row r="595" spans="1:24" ht="12.75">
      <c r="A595" s="39"/>
      <c r="B595" s="40"/>
      <c r="C595" s="39"/>
      <c r="D595" s="41"/>
      <c r="E595" s="39"/>
      <c r="F595" s="39">
        <v>142</v>
      </c>
      <c r="G595" s="39" t="s">
        <v>40</v>
      </c>
      <c r="H595" s="42">
        <v>294</v>
      </c>
      <c r="I595" s="42">
        <v>356</v>
      </c>
      <c r="J595" s="42">
        <v>560</v>
      </c>
      <c r="K595" s="42"/>
      <c r="L595" s="42"/>
      <c r="M595" s="42"/>
      <c r="N595" s="42">
        <v>568</v>
      </c>
      <c r="O595" s="42"/>
      <c r="P595" s="42"/>
      <c r="Q595" s="42">
        <f t="shared" si="122"/>
        <v>607.76</v>
      </c>
      <c r="R595" s="35">
        <f t="shared" si="121"/>
        <v>107</v>
      </c>
      <c r="S595" s="42"/>
      <c r="T595" s="47">
        <f aca="true" t="shared" si="124" ref="T595:T600">Q595*1.08</f>
        <v>656.3808</v>
      </c>
      <c r="U595" s="47">
        <f t="shared" si="123"/>
        <v>708.8912640000001</v>
      </c>
      <c r="V595" s="61"/>
      <c r="W595" s="37">
        <f aca="true" t="shared" si="125" ref="W595:W621">J595/I595*100</f>
        <v>157.30337078651687</v>
      </c>
      <c r="X595" s="37">
        <f aca="true" t="shared" si="126" ref="X595:X621">N595/J595*100</f>
        <v>101.42857142857142</v>
      </c>
    </row>
    <row r="596" spans="1:24" ht="12.75">
      <c r="A596" s="39"/>
      <c r="B596" s="40"/>
      <c r="C596" s="39"/>
      <c r="D596" s="41"/>
      <c r="E596" s="39"/>
      <c r="F596" s="39">
        <v>143</v>
      </c>
      <c r="G596" s="39" t="s">
        <v>41</v>
      </c>
      <c r="H596" s="42">
        <v>338</v>
      </c>
      <c r="I596" s="42">
        <v>360</v>
      </c>
      <c r="J596" s="42">
        <v>396</v>
      </c>
      <c r="K596" s="42"/>
      <c r="L596" s="42"/>
      <c r="M596" s="42"/>
      <c r="N596" s="42">
        <v>420</v>
      </c>
      <c r="O596" s="42"/>
      <c r="P596" s="42"/>
      <c r="Q596" s="42">
        <f t="shared" si="122"/>
        <v>449.4</v>
      </c>
      <c r="R596" s="35">
        <f t="shared" si="121"/>
        <v>106.99999999999999</v>
      </c>
      <c r="S596" s="42"/>
      <c r="T596" s="47">
        <f t="shared" si="124"/>
        <v>485.35200000000003</v>
      </c>
      <c r="U596" s="47">
        <f t="shared" si="123"/>
        <v>524.1801600000001</v>
      </c>
      <c r="V596" s="61"/>
      <c r="W596" s="37">
        <f t="shared" si="125"/>
        <v>110.00000000000001</v>
      </c>
      <c r="X596" s="37">
        <f t="shared" si="126"/>
        <v>106.06060606060606</v>
      </c>
    </row>
    <row r="597" spans="1:24" ht="12.75">
      <c r="A597" s="39"/>
      <c r="B597" s="40"/>
      <c r="C597" s="39"/>
      <c r="D597" s="41"/>
      <c r="E597" s="39"/>
      <c r="F597" s="39">
        <v>147</v>
      </c>
      <c r="G597" s="39" t="s">
        <v>42</v>
      </c>
      <c r="H597" s="42">
        <v>505</v>
      </c>
      <c r="I597" s="42">
        <v>540</v>
      </c>
      <c r="J597" s="42">
        <v>946</v>
      </c>
      <c r="K597" s="42"/>
      <c r="L597" s="42"/>
      <c r="M597" s="42"/>
      <c r="N597" s="42">
        <v>1005</v>
      </c>
      <c r="O597" s="42"/>
      <c r="P597" s="42"/>
      <c r="Q597" s="42">
        <f t="shared" si="122"/>
        <v>1075.35</v>
      </c>
      <c r="R597" s="35">
        <f t="shared" si="121"/>
        <v>106.99999999999999</v>
      </c>
      <c r="S597" s="42"/>
      <c r="T597" s="47">
        <f t="shared" si="124"/>
        <v>1161.378</v>
      </c>
      <c r="U597" s="47">
        <f t="shared" si="123"/>
        <v>1254.28824</v>
      </c>
      <c r="V597" s="61"/>
      <c r="W597" s="37">
        <f t="shared" si="125"/>
        <v>175.1851851851852</v>
      </c>
      <c r="X597" s="37">
        <f t="shared" si="126"/>
        <v>106.23678646934461</v>
      </c>
    </row>
    <row r="598" spans="1:24" ht="12.75">
      <c r="A598" s="39"/>
      <c r="B598" s="40"/>
      <c r="C598" s="39"/>
      <c r="D598" s="41"/>
      <c r="E598" s="39"/>
      <c r="F598" s="39">
        <v>149</v>
      </c>
      <c r="G598" s="39" t="s">
        <v>43</v>
      </c>
      <c r="H598" s="42">
        <v>5854</v>
      </c>
      <c r="I598" s="42">
        <v>1389</v>
      </c>
      <c r="J598" s="42">
        <v>520</v>
      </c>
      <c r="K598" s="42"/>
      <c r="L598" s="42"/>
      <c r="M598" s="42"/>
      <c r="N598" s="42">
        <v>427</v>
      </c>
      <c r="O598" s="42"/>
      <c r="P598" s="42"/>
      <c r="Q598" s="42">
        <f t="shared" si="122"/>
        <v>456.89</v>
      </c>
      <c r="R598" s="35">
        <f t="shared" si="121"/>
        <v>107</v>
      </c>
      <c r="S598" s="42"/>
      <c r="T598" s="47">
        <f t="shared" si="124"/>
        <v>493.44120000000004</v>
      </c>
      <c r="U598" s="47">
        <f t="shared" si="123"/>
        <v>532.916496</v>
      </c>
      <c r="V598" s="61"/>
      <c r="W598" s="37">
        <f t="shared" si="125"/>
        <v>37.43700503959683</v>
      </c>
      <c r="X598" s="37">
        <f t="shared" si="126"/>
        <v>82.11538461538461</v>
      </c>
    </row>
    <row r="599" spans="1:24" ht="12.75">
      <c r="A599" s="39"/>
      <c r="B599" s="40"/>
      <c r="C599" s="39"/>
      <c r="D599" s="41"/>
      <c r="E599" s="39"/>
      <c r="F599" s="39">
        <v>159</v>
      </c>
      <c r="G599" s="39" t="s">
        <v>46</v>
      </c>
      <c r="H599" s="42">
        <v>3</v>
      </c>
      <c r="I599" s="42">
        <v>4</v>
      </c>
      <c r="J599" s="42">
        <v>2</v>
      </c>
      <c r="K599" s="42"/>
      <c r="L599" s="42"/>
      <c r="M599" s="42"/>
      <c r="N599" s="42">
        <f>J599+(J599*0.07)</f>
        <v>2.14</v>
      </c>
      <c r="O599" s="42"/>
      <c r="P599" s="42"/>
      <c r="Q599" s="42">
        <f t="shared" si="122"/>
        <v>2.2898</v>
      </c>
      <c r="R599" s="35">
        <f t="shared" si="121"/>
        <v>107</v>
      </c>
      <c r="S599" s="42"/>
      <c r="T599" s="47">
        <f t="shared" si="124"/>
        <v>2.4729840000000003</v>
      </c>
      <c r="U599" s="47">
        <f t="shared" si="123"/>
        <v>2.6708227200000003</v>
      </c>
      <c r="V599" s="61"/>
      <c r="W599" s="37">
        <f t="shared" si="125"/>
        <v>50</v>
      </c>
      <c r="X599" s="37">
        <f t="shared" si="126"/>
        <v>107</v>
      </c>
    </row>
    <row r="600" spans="1:24" ht="25.5">
      <c r="A600" s="39"/>
      <c r="B600" s="40"/>
      <c r="C600" s="39"/>
      <c r="D600" s="41"/>
      <c r="E600" s="39"/>
      <c r="F600" s="39">
        <v>411</v>
      </c>
      <c r="G600" s="39" t="s">
        <v>49</v>
      </c>
      <c r="H600" s="42">
        <v>3100</v>
      </c>
      <c r="I600" s="42">
        <v>4500</v>
      </c>
      <c r="J600" s="42">
        <f>I600+(I600*0.07)</f>
        <v>4815</v>
      </c>
      <c r="K600" s="42"/>
      <c r="L600" s="42"/>
      <c r="M600" s="42"/>
      <c r="N600" s="42">
        <v>4000</v>
      </c>
      <c r="O600" s="42"/>
      <c r="P600" s="42"/>
      <c r="Q600" s="42">
        <v>4000</v>
      </c>
      <c r="R600" s="35">
        <f t="shared" si="121"/>
        <v>100</v>
      </c>
      <c r="S600" s="42"/>
      <c r="T600" s="47">
        <f t="shared" si="124"/>
        <v>4320</v>
      </c>
      <c r="U600" s="47">
        <f t="shared" si="123"/>
        <v>4665.6</v>
      </c>
      <c r="V600" s="48"/>
      <c r="W600" s="37">
        <f t="shared" si="125"/>
        <v>107</v>
      </c>
      <c r="X600" s="37">
        <f t="shared" si="126"/>
        <v>83.07372793354102</v>
      </c>
    </row>
    <row r="601" spans="1:24" ht="25.5">
      <c r="A601" s="39"/>
      <c r="B601" s="40"/>
      <c r="C601" s="39"/>
      <c r="D601" s="41"/>
      <c r="E601" s="39"/>
      <c r="F601" s="39">
        <v>431</v>
      </c>
      <c r="G601" s="39" t="s">
        <v>113</v>
      </c>
      <c r="H601" s="42">
        <v>1000</v>
      </c>
      <c r="I601" s="42"/>
      <c r="J601" s="42">
        <v>5600</v>
      </c>
      <c r="K601" s="42"/>
      <c r="L601" s="42"/>
      <c r="M601" s="42"/>
      <c r="N601" s="42"/>
      <c r="O601" s="42"/>
      <c r="P601" s="42"/>
      <c r="Q601" s="42"/>
      <c r="R601" s="35" t="e">
        <f t="shared" si="121"/>
        <v>#DIV/0!</v>
      </c>
      <c r="S601" s="42"/>
      <c r="T601" s="47">
        <v>133412</v>
      </c>
      <c r="U601" s="47"/>
      <c r="V601" s="46" t="s">
        <v>250</v>
      </c>
      <c r="W601" s="37" t="e">
        <f t="shared" si="125"/>
        <v>#DIV/0!</v>
      </c>
      <c r="X601" s="37">
        <f t="shared" si="126"/>
        <v>0</v>
      </c>
    </row>
    <row r="602" spans="1:24" ht="25.5">
      <c r="A602" s="39"/>
      <c r="B602" s="40"/>
      <c r="C602" s="39"/>
      <c r="D602" s="41">
        <v>7</v>
      </c>
      <c r="E602" s="39">
        <v>0</v>
      </c>
      <c r="F602" s="39"/>
      <c r="G602" s="45" t="s">
        <v>251</v>
      </c>
      <c r="H602" s="42">
        <f>H603</f>
        <v>1811</v>
      </c>
      <c r="I602" s="42">
        <f>I603</f>
        <v>1955.88</v>
      </c>
      <c r="J602" s="42">
        <f>J603</f>
        <v>2092.7916</v>
      </c>
      <c r="K602" s="42"/>
      <c r="L602" s="42"/>
      <c r="M602" s="42"/>
      <c r="N602" s="42">
        <f>N603</f>
        <v>2239.2870120000002</v>
      </c>
      <c r="O602" s="42">
        <f aca="true" t="shared" si="127" ref="O602:U602">O603</f>
        <v>0</v>
      </c>
      <c r="P602" s="42"/>
      <c r="Q602" s="42">
        <f t="shared" si="127"/>
        <v>2396.0371028400004</v>
      </c>
      <c r="R602" s="35">
        <f t="shared" si="121"/>
        <v>107</v>
      </c>
      <c r="S602" s="42"/>
      <c r="T602" s="42">
        <f t="shared" si="127"/>
        <v>2587.7200710672005</v>
      </c>
      <c r="U602" s="42">
        <f t="shared" si="127"/>
        <v>2794.7376767525766</v>
      </c>
      <c r="V602" s="61"/>
      <c r="W602" s="37">
        <f t="shared" si="125"/>
        <v>106.99999999999999</v>
      </c>
      <c r="X602" s="37">
        <f t="shared" si="126"/>
        <v>107</v>
      </c>
    </row>
    <row r="603" spans="1:24" ht="12.75">
      <c r="A603" s="39"/>
      <c r="B603" s="40"/>
      <c r="C603" s="39"/>
      <c r="D603" s="41"/>
      <c r="E603" s="39"/>
      <c r="F603" s="39">
        <v>149</v>
      </c>
      <c r="G603" s="39" t="s">
        <v>43</v>
      </c>
      <c r="H603" s="42">
        <v>1811</v>
      </c>
      <c r="I603" s="42">
        <f>H603+(H603*0.08)</f>
        <v>1955.88</v>
      </c>
      <c r="J603" s="42">
        <f>I603+(I603*0.07)</f>
        <v>2092.7916</v>
      </c>
      <c r="K603" s="42"/>
      <c r="L603" s="42"/>
      <c r="M603" s="42"/>
      <c r="N603" s="42">
        <f>J603+(J603*0.07)</f>
        <v>2239.2870120000002</v>
      </c>
      <c r="O603" s="42"/>
      <c r="P603" s="42"/>
      <c r="Q603" s="42">
        <f>N603+(N603*0.07)</f>
        <v>2396.0371028400004</v>
      </c>
      <c r="R603" s="35">
        <f t="shared" si="121"/>
        <v>107</v>
      </c>
      <c r="S603" s="42"/>
      <c r="T603" s="47">
        <f>Q603*1.08</f>
        <v>2587.7200710672005</v>
      </c>
      <c r="U603" s="47">
        <f>T603*1.08</f>
        <v>2794.7376767525766</v>
      </c>
      <c r="V603" s="61"/>
      <c r="W603" s="37">
        <f t="shared" si="125"/>
        <v>106.99999999999999</v>
      </c>
      <c r="X603" s="37">
        <f t="shared" si="126"/>
        <v>107</v>
      </c>
    </row>
    <row r="604" spans="1:24" ht="25.5">
      <c r="A604" s="39"/>
      <c r="B604" s="40"/>
      <c r="C604" s="39">
        <v>456</v>
      </c>
      <c r="D604" s="41"/>
      <c r="E604" s="39"/>
      <c r="F604" s="39"/>
      <c r="G604" s="39" t="s">
        <v>252</v>
      </c>
      <c r="H604" s="42">
        <f>H605</f>
        <v>22591</v>
      </c>
      <c r="I604" s="42">
        <f>I606+I608</f>
        <v>25478.28</v>
      </c>
      <c r="J604" s="42">
        <f>J606+J608</f>
        <v>32513</v>
      </c>
      <c r="K604" s="42"/>
      <c r="L604" s="42"/>
      <c r="M604" s="42"/>
      <c r="N604" s="42">
        <f>N606+N608</f>
        <v>29834</v>
      </c>
      <c r="O604" s="42"/>
      <c r="P604" s="42"/>
      <c r="Q604" s="42">
        <f>Q606+Q608</f>
        <v>31922.380000000005</v>
      </c>
      <c r="R604" s="35">
        <f t="shared" si="121"/>
        <v>107</v>
      </c>
      <c r="S604" s="42"/>
      <c r="T604" s="42">
        <f>T606+T608</f>
        <v>34476.1704</v>
      </c>
      <c r="U604" s="42">
        <f>U606+U608</f>
        <v>37234.26403200001</v>
      </c>
      <c r="V604" s="61"/>
      <c r="W604" s="37">
        <f t="shared" si="125"/>
        <v>127.61065503636824</v>
      </c>
      <c r="X604" s="37">
        <f t="shared" si="126"/>
        <v>91.76021898932734</v>
      </c>
    </row>
    <row r="605" spans="1:24" ht="38.25">
      <c r="A605" s="39"/>
      <c r="B605" s="40"/>
      <c r="C605" s="39"/>
      <c r="D605" s="41">
        <v>2</v>
      </c>
      <c r="E605" s="39"/>
      <c r="F605" s="39"/>
      <c r="G605" s="45" t="s">
        <v>253</v>
      </c>
      <c r="H605" s="42">
        <f>H606+H608</f>
        <v>22591</v>
      </c>
      <c r="I605" s="42"/>
      <c r="J605" s="42"/>
      <c r="K605" s="42"/>
      <c r="L605" s="42"/>
      <c r="M605" s="42"/>
      <c r="N605" s="42"/>
      <c r="O605" s="42"/>
      <c r="P605" s="42"/>
      <c r="Q605" s="42"/>
      <c r="R605" s="35" t="e">
        <f t="shared" si="121"/>
        <v>#DIV/0!</v>
      </c>
      <c r="S605" s="42"/>
      <c r="T605" s="47"/>
      <c r="U605" s="35"/>
      <c r="V605" s="61"/>
      <c r="W605" s="37" t="e">
        <f t="shared" si="125"/>
        <v>#DIV/0!</v>
      </c>
      <c r="X605" s="37" t="e">
        <f t="shared" si="126"/>
        <v>#DIV/0!</v>
      </c>
    </row>
    <row r="606" spans="1:24" ht="38.25">
      <c r="A606" s="39"/>
      <c r="B606" s="40"/>
      <c r="C606" s="39"/>
      <c r="D606" s="41">
        <v>2</v>
      </c>
      <c r="E606" s="39"/>
      <c r="F606" s="39"/>
      <c r="G606" s="51" t="s">
        <v>254</v>
      </c>
      <c r="H606" s="42">
        <f>H607</f>
        <v>15000</v>
      </c>
      <c r="I606" s="42">
        <f>I607</f>
        <v>16200</v>
      </c>
      <c r="J606" s="42">
        <f>J607</f>
        <v>17200</v>
      </c>
      <c r="K606" s="42"/>
      <c r="L606" s="42">
        <v>17334</v>
      </c>
      <c r="M606" s="42">
        <v>18404</v>
      </c>
      <c r="N606" s="42">
        <f>N607</f>
        <v>20404</v>
      </c>
      <c r="O606" s="42">
        <f aca="true" t="shared" si="128" ref="O606:U606">O607</f>
        <v>0</v>
      </c>
      <c r="P606" s="42"/>
      <c r="Q606" s="42">
        <f t="shared" si="128"/>
        <v>21832.280000000002</v>
      </c>
      <c r="R606" s="35">
        <f t="shared" si="121"/>
        <v>107</v>
      </c>
      <c r="S606" s="42"/>
      <c r="T606" s="42">
        <f t="shared" si="128"/>
        <v>23578.862400000005</v>
      </c>
      <c r="U606" s="42">
        <f t="shared" si="128"/>
        <v>25465.171392000007</v>
      </c>
      <c r="V606" s="61"/>
      <c r="W606" s="37">
        <f t="shared" si="125"/>
        <v>106.17283950617285</v>
      </c>
      <c r="X606" s="37">
        <f t="shared" si="126"/>
        <v>118.62790697674419</v>
      </c>
    </row>
    <row r="607" spans="1:24" ht="12.75">
      <c r="A607" s="39"/>
      <c r="B607" s="40"/>
      <c r="C607" s="39"/>
      <c r="D607" s="41"/>
      <c r="E607" s="39"/>
      <c r="F607" s="39">
        <v>149</v>
      </c>
      <c r="G607" s="39" t="s">
        <v>43</v>
      </c>
      <c r="H607" s="42">
        <v>15000</v>
      </c>
      <c r="I607" s="42">
        <f>H607+(H607*0.08)</f>
        <v>16200</v>
      </c>
      <c r="J607" s="42">
        <v>17200</v>
      </c>
      <c r="K607" s="42"/>
      <c r="L607" s="42"/>
      <c r="M607" s="42"/>
      <c r="N607" s="42">
        <f>J607+(J607*0.07)+2000</f>
        <v>20404</v>
      </c>
      <c r="O607" s="42"/>
      <c r="P607" s="42"/>
      <c r="Q607" s="42">
        <f>N607*1.07</f>
        <v>21832.280000000002</v>
      </c>
      <c r="R607" s="35">
        <f t="shared" si="121"/>
        <v>107</v>
      </c>
      <c r="S607" s="42"/>
      <c r="T607" s="47">
        <f>Q607*1.08</f>
        <v>23578.862400000005</v>
      </c>
      <c r="U607" s="47">
        <f>T607*1.08</f>
        <v>25465.171392000007</v>
      </c>
      <c r="V607" s="61"/>
      <c r="W607" s="37">
        <f t="shared" si="125"/>
        <v>106.17283950617285</v>
      </c>
      <c r="X607" s="37">
        <f t="shared" si="126"/>
        <v>118.62790697674419</v>
      </c>
    </row>
    <row r="608" spans="1:24" ht="38.25">
      <c r="A608" s="39"/>
      <c r="B608" s="40"/>
      <c r="C608" s="39"/>
      <c r="D608" s="41">
        <v>5</v>
      </c>
      <c r="E608" s="39"/>
      <c r="F608" s="39"/>
      <c r="G608" s="51" t="s">
        <v>255</v>
      </c>
      <c r="H608" s="42">
        <f>H609</f>
        <v>7591</v>
      </c>
      <c r="I608" s="42">
        <f>I609</f>
        <v>9278.28</v>
      </c>
      <c r="J608" s="42">
        <f>J609</f>
        <v>15313</v>
      </c>
      <c r="K608" s="42"/>
      <c r="L608" s="42">
        <v>9430</v>
      </c>
      <c r="M608" s="42">
        <v>9430</v>
      </c>
      <c r="N608" s="42">
        <f>N609</f>
        <v>9430</v>
      </c>
      <c r="O608" s="42">
        <f aca="true" t="shared" si="129" ref="O608:U608">O609</f>
        <v>0</v>
      </c>
      <c r="P608" s="42"/>
      <c r="Q608" s="42">
        <f t="shared" si="129"/>
        <v>10090.1</v>
      </c>
      <c r="R608" s="35">
        <f t="shared" si="121"/>
        <v>107</v>
      </c>
      <c r="S608" s="42"/>
      <c r="T608" s="42">
        <f t="shared" si="129"/>
        <v>10897.308</v>
      </c>
      <c r="U608" s="42">
        <f t="shared" si="129"/>
        <v>11769.092640000003</v>
      </c>
      <c r="V608" s="61"/>
      <c r="W608" s="37">
        <f t="shared" si="125"/>
        <v>165.04136542548832</v>
      </c>
      <c r="X608" s="37">
        <f t="shared" si="126"/>
        <v>61.58166263958728</v>
      </c>
    </row>
    <row r="609" spans="1:24" ht="12.75">
      <c r="A609" s="39"/>
      <c r="B609" s="40"/>
      <c r="C609" s="39"/>
      <c r="D609" s="41"/>
      <c r="E609" s="39"/>
      <c r="F609" s="39">
        <v>149</v>
      </c>
      <c r="G609" s="39" t="s">
        <v>43</v>
      </c>
      <c r="H609" s="42">
        <v>7591</v>
      </c>
      <c r="I609" s="42">
        <f>H609+(H609*0.08)+1080</f>
        <v>9278.28</v>
      </c>
      <c r="J609" s="42">
        <f>8813+5000+1500</f>
        <v>15313</v>
      </c>
      <c r="K609" s="42"/>
      <c r="L609" s="42"/>
      <c r="M609" s="42"/>
      <c r="N609" s="42">
        <v>9430</v>
      </c>
      <c r="O609" s="42"/>
      <c r="P609" s="42"/>
      <c r="Q609" s="42">
        <f>N609+(N609*0.07)</f>
        <v>10090.1</v>
      </c>
      <c r="R609" s="35">
        <f t="shared" si="121"/>
        <v>107</v>
      </c>
      <c r="S609" s="42"/>
      <c r="T609" s="47">
        <f>Q609*1.08</f>
        <v>10897.308</v>
      </c>
      <c r="U609" s="47">
        <f>T609*1.08</f>
        <v>11769.092640000003</v>
      </c>
      <c r="V609" s="48"/>
      <c r="W609" s="37">
        <f t="shared" si="125"/>
        <v>165.04136542548832</v>
      </c>
      <c r="X609" s="37">
        <f t="shared" si="126"/>
        <v>61.58166263958728</v>
      </c>
    </row>
    <row r="610" spans="1:24" ht="25.5">
      <c r="A610" s="39"/>
      <c r="B610" s="40" t="s">
        <v>134</v>
      </c>
      <c r="C610" s="39"/>
      <c r="D610" s="41"/>
      <c r="E610" s="39"/>
      <c r="F610" s="39"/>
      <c r="G610" s="39" t="s">
        <v>256</v>
      </c>
      <c r="H610" s="42" t="e">
        <f aca="true" t="shared" si="130" ref="H610:U610">H611+H623+H637</f>
        <v>#REF!</v>
      </c>
      <c r="I610" s="42">
        <f t="shared" si="130"/>
        <v>30718.142</v>
      </c>
      <c r="J610" s="42">
        <f t="shared" si="130"/>
        <v>39425.637</v>
      </c>
      <c r="K610" s="42"/>
      <c r="L610" s="42"/>
      <c r="M610" s="42"/>
      <c r="N610" s="42">
        <f t="shared" si="130"/>
        <v>43204.9541</v>
      </c>
      <c r="O610" s="42"/>
      <c r="P610" s="42"/>
      <c r="Q610" s="42">
        <f t="shared" si="130"/>
        <v>39973.768887</v>
      </c>
      <c r="R610" s="35">
        <f t="shared" si="121"/>
        <v>92.52126224802538</v>
      </c>
      <c r="S610" s="42"/>
      <c r="T610" s="42">
        <f t="shared" si="130"/>
        <v>45904.673317960005</v>
      </c>
      <c r="U610" s="42">
        <f t="shared" si="130"/>
        <v>47842.8817433968</v>
      </c>
      <c r="V610" s="61"/>
      <c r="W610" s="37">
        <f t="shared" si="125"/>
        <v>128.3464247284227</v>
      </c>
      <c r="X610" s="37">
        <f t="shared" si="126"/>
        <v>109.58593795199809</v>
      </c>
    </row>
    <row r="611" spans="1:24" ht="25.5">
      <c r="A611" s="39"/>
      <c r="B611" s="40"/>
      <c r="C611" s="39">
        <v>455</v>
      </c>
      <c r="D611" s="41"/>
      <c r="E611" s="39"/>
      <c r="F611" s="39"/>
      <c r="G611" s="39" t="s">
        <v>231</v>
      </c>
      <c r="H611" s="42" t="e">
        <f>H612</f>
        <v>#REF!</v>
      </c>
      <c r="I611" s="42">
        <f>I612</f>
        <v>8676.521</v>
      </c>
      <c r="J611" s="42">
        <f>J612</f>
        <v>8952.636999999999</v>
      </c>
      <c r="K611" s="42"/>
      <c r="L611" s="42"/>
      <c r="M611" s="42"/>
      <c r="N611" s="42">
        <f>N612</f>
        <v>11083.988000000001</v>
      </c>
      <c r="O611" s="42"/>
      <c r="P611" s="42"/>
      <c r="Q611" s="42">
        <f>Q612</f>
        <v>11225.528</v>
      </c>
      <c r="R611" s="35">
        <f t="shared" si="121"/>
        <v>101.27697720351195</v>
      </c>
      <c r="S611" s="42"/>
      <c r="T611" s="42">
        <f>T612</f>
        <v>11494.611200000001</v>
      </c>
      <c r="U611" s="42">
        <f>U612</f>
        <v>11785.221056</v>
      </c>
      <c r="V611" s="61"/>
      <c r="W611" s="37">
        <f t="shared" si="125"/>
        <v>103.18233540839697</v>
      </c>
      <c r="X611" s="37">
        <f t="shared" si="126"/>
        <v>123.80696324446086</v>
      </c>
    </row>
    <row r="612" spans="1:24" ht="38.25">
      <c r="A612" s="39"/>
      <c r="B612" s="40"/>
      <c r="C612" s="39"/>
      <c r="D612" s="41">
        <v>1</v>
      </c>
      <c r="E612" s="39"/>
      <c r="F612" s="39"/>
      <c r="G612" s="45" t="s">
        <v>257</v>
      </c>
      <c r="H612" s="42" t="e">
        <f>#REF!</f>
        <v>#REF!</v>
      </c>
      <c r="I612" s="42">
        <f>SUM(I613:I621)</f>
        <v>8676.521</v>
      </c>
      <c r="J612" s="42">
        <f>SUM(J613:J621)</f>
        <v>8952.636999999999</v>
      </c>
      <c r="K612" s="42"/>
      <c r="L612" s="42">
        <v>9946</v>
      </c>
      <c r="M612" s="42">
        <v>9884</v>
      </c>
      <c r="N612" s="42">
        <f>SUM(N613:N621)</f>
        <v>11083.988000000001</v>
      </c>
      <c r="O612" s="42"/>
      <c r="P612" s="42"/>
      <c r="Q612" s="42">
        <f>SUM(Q613:Q621)</f>
        <v>11225.528</v>
      </c>
      <c r="R612" s="35">
        <f t="shared" si="121"/>
        <v>101.27697720351195</v>
      </c>
      <c r="S612" s="42"/>
      <c r="T612" s="42">
        <f>SUM(T613:T621)</f>
        <v>11494.611200000001</v>
      </c>
      <c r="U612" s="42">
        <f>SUM(U613:U621)</f>
        <v>11785.221056</v>
      </c>
      <c r="V612" s="61" t="s">
        <v>258</v>
      </c>
      <c r="W612" s="37">
        <f t="shared" si="125"/>
        <v>103.18233540839697</v>
      </c>
      <c r="X612" s="37">
        <f t="shared" si="126"/>
        <v>123.80696324446086</v>
      </c>
    </row>
    <row r="613" spans="1:24" ht="12.75">
      <c r="A613" s="39"/>
      <c r="B613" s="40"/>
      <c r="C613" s="39"/>
      <c r="D613" s="41"/>
      <c r="E613" s="39"/>
      <c r="F613" s="39">
        <v>111</v>
      </c>
      <c r="G613" s="39" t="s">
        <v>33</v>
      </c>
      <c r="H613" s="42">
        <v>4636</v>
      </c>
      <c r="I613" s="42">
        <v>4939</v>
      </c>
      <c r="J613" s="42">
        <v>5733</v>
      </c>
      <c r="K613" s="42"/>
      <c r="L613" s="42"/>
      <c r="M613" s="42"/>
      <c r="N613" s="42">
        <v>6212</v>
      </c>
      <c r="O613" s="42">
        <v>6212</v>
      </c>
      <c r="P613" s="42"/>
      <c r="Q613" s="42">
        <v>6212</v>
      </c>
      <c r="R613" s="35">
        <f t="shared" si="121"/>
        <v>100</v>
      </c>
      <c r="S613" s="42"/>
      <c r="T613" s="42">
        <v>6212</v>
      </c>
      <c r="U613" s="42">
        <v>6212</v>
      </c>
      <c r="V613" s="46"/>
      <c r="W613" s="37">
        <f t="shared" si="125"/>
        <v>116.07612877100628</v>
      </c>
      <c r="X613" s="37">
        <f t="shared" si="126"/>
        <v>108.35513692656549</v>
      </c>
    </row>
    <row r="614" spans="1:24" ht="12.75">
      <c r="A614" s="39"/>
      <c r="B614" s="40"/>
      <c r="C614" s="39"/>
      <c r="D614" s="41"/>
      <c r="E614" s="39"/>
      <c r="F614" s="39">
        <v>113</v>
      </c>
      <c r="G614" s="39" t="s">
        <v>35</v>
      </c>
      <c r="H614" s="42">
        <v>772</v>
      </c>
      <c r="I614" s="42">
        <v>823</v>
      </c>
      <c r="J614" s="42">
        <v>1080</v>
      </c>
      <c r="K614" s="42"/>
      <c r="L614" s="42"/>
      <c r="M614" s="42"/>
      <c r="N614" s="42">
        <v>1035</v>
      </c>
      <c r="O614" s="42"/>
      <c r="P614" s="42"/>
      <c r="Q614" s="42">
        <f>N614</f>
        <v>1035</v>
      </c>
      <c r="R614" s="35">
        <f t="shared" si="121"/>
        <v>100</v>
      </c>
      <c r="S614" s="42"/>
      <c r="T614" s="42">
        <f>Q614</f>
        <v>1035</v>
      </c>
      <c r="U614" s="42">
        <f>T614</f>
        <v>1035</v>
      </c>
      <c r="V614" s="61"/>
      <c r="W614" s="37">
        <f t="shared" si="125"/>
        <v>131.22721749696234</v>
      </c>
      <c r="X614" s="37">
        <f t="shared" si="126"/>
        <v>95.83333333333334</v>
      </c>
    </row>
    <row r="615" spans="1:24" ht="12.75">
      <c r="A615" s="39"/>
      <c r="B615" s="40"/>
      <c r="C615" s="39"/>
      <c r="D615" s="41"/>
      <c r="E615" s="39"/>
      <c r="F615" s="39">
        <v>121</v>
      </c>
      <c r="G615" s="39" t="s">
        <v>36</v>
      </c>
      <c r="H615" s="42">
        <v>293</v>
      </c>
      <c r="I615" s="42">
        <f>(I613-(I613*0.1))*0.06</f>
        <v>266.706</v>
      </c>
      <c r="J615" s="42">
        <f>(J613-(J613*0.1))*0.06</f>
        <v>309.582</v>
      </c>
      <c r="K615" s="42"/>
      <c r="L615" s="42"/>
      <c r="M615" s="42"/>
      <c r="N615" s="42">
        <f>(N613-(N613*0.1))*0.06</f>
        <v>335.448</v>
      </c>
      <c r="O615" s="42"/>
      <c r="P615" s="42"/>
      <c r="Q615" s="42">
        <f>(Q613-(Q613*0.1))*0.06</f>
        <v>335.448</v>
      </c>
      <c r="R615" s="35">
        <f t="shared" si="121"/>
        <v>100</v>
      </c>
      <c r="S615" s="42"/>
      <c r="T615" s="42">
        <f>(T613-(T613*0.1))*0.06</f>
        <v>335.448</v>
      </c>
      <c r="U615" s="42">
        <f>(U613-(U613*0.1))*0.06</f>
        <v>335.448</v>
      </c>
      <c r="V615" s="61"/>
      <c r="W615" s="37">
        <f t="shared" si="125"/>
        <v>116.07612877100625</v>
      </c>
      <c r="X615" s="37">
        <f t="shared" si="126"/>
        <v>108.35513692656549</v>
      </c>
    </row>
    <row r="616" spans="1:24" ht="25.5">
      <c r="A616" s="39"/>
      <c r="B616" s="40"/>
      <c r="C616" s="39"/>
      <c r="D616" s="41"/>
      <c r="E616" s="39"/>
      <c r="F616" s="39">
        <v>122</v>
      </c>
      <c r="G616" s="39" t="s">
        <v>37</v>
      </c>
      <c r="H616" s="42">
        <v>167</v>
      </c>
      <c r="I616" s="42">
        <f>(I613-(I613*0.1))*0.05</f>
        <v>222.25500000000002</v>
      </c>
      <c r="J616" s="42">
        <f>(J613-(J613*0.1))*0.05</f>
        <v>257.985</v>
      </c>
      <c r="K616" s="42"/>
      <c r="L616" s="42"/>
      <c r="M616" s="42"/>
      <c r="N616" s="42">
        <f>(N613-(N613*0.1))*0.05</f>
        <v>279.54</v>
      </c>
      <c r="O616" s="42"/>
      <c r="P616" s="42"/>
      <c r="Q616" s="42">
        <f>(Q613-(Q613*0.1))*0.05</f>
        <v>279.54</v>
      </c>
      <c r="R616" s="35">
        <f t="shared" si="121"/>
        <v>100</v>
      </c>
      <c r="S616" s="42"/>
      <c r="T616" s="42">
        <f>(T613-(T613*0.1))*0.05</f>
        <v>279.54</v>
      </c>
      <c r="U616" s="42">
        <f>(U613-(U613*0.1))*0.05</f>
        <v>279.54</v>
      </c>
      <c r="V616" s="61"/>
      <c r="W616" s="37">
        <f t="shared" si="125"/>
        <v>116.07612877100625</v>
      </c>
      <c r="X616" s="37">
        <f t="shared" si="126"/>
        <v>108.3551369265655</v>
      </c>
    </row>
    <row r="617" spans="1:24" ht="38.25">
      <c r="A617" s="39"/>
      <c r="B617" s="40"/>
      <c r="C617" s="39"/>
      <c r="D617" s="41"/>
      <c r="E617" s="39"/>
      <c r="F617" s="39">
        <v>125</v>
      </c>
      <c r="G617" s="39" t="s">
        <v>38</v>
      </c>
      <c r="H617" s="42">
        <v>7</v>
      </c>
      <c r="I617" s="42">
        <v>9</v>
      </c>
      <c r="J617" s="42"/>
      <c r="K617" s="42"/>
      <c r="L617" s="42"/>
      <c r="M617" s="42"/>
      <c r="N617" s="42">
        <v>10</v>
      </c>
      <c r="O617" s="42"/>
      <c r="P617" s="42"/>
      <c r="Q617" s="42">
        <f>N617+(N617*0.07)</f>
        <v>10.7</v>
      </c>
      <c r="R617" s="35">
        <f t="shared" si="121"/>
        <v>106.99999999999999</v>
      </c>
      <c r="S617" s="42"/>
      <c r="T617" s="47">
        <f>Q617*1.08</f>
        <v>11.556</v>
      </c>
      <c r="U617" s="47">
        <f>T617*1.08</f>
        <v>12.48048</v>
      </c>
      <c r="V617" s="61"/>
      <c r="W617" s="37">
        <f t="shared" si="125"/>
        <v>0</v>
      </c>
      <c r="X617" s="37" t="e">
        <f t="shared" si="126"/>
        <v>#DIV/0!</v>
      </c>
    </row>
    <row r="618" spans="1:24" ht="12.75">
      <c r="A618" s="39"/>
      <c r="B618" s="40"/>
      <c r="C618" s="39"/>
      <c r="D618" s="41"/>
      <c r="E618" s="39"/>
      <c r="F618" s="39">
        <v>139</v>
      </c>
      <c r="G618" s="39" t="s">
        <v>39</v>
      </c>
      <c r="H618" s="42">
        <v>820</v>
      </c>
      <c r="I618" s="42">
        <v>1077</v>
      </c>
      <c r="J618" s="42">
        <v>752</v>
      </c>
      <c r="K618" s="42"/>
      <c r="L618" s="42"/>
      <c r="M618" s="42"/>
      <c r="N618" s="42">
        <v>1612</v>
      </c>
      <c r="O618" s="42"/>
      <c r="P618" s="42"/>
      <c r="Q618" s="42">
        <f>N618+(N618*0.07)-84</f>
        <v>1640.84</v>
      </c>
      <c r="R618" s="35">
        <f t="shared" si="121"/>
        <v>101.78908188585606</v>
      </c>
      <c r="S618" s="42"/>
      <c r="T618" s="47">
        <f>Q618*1.08</f>
        <v>1772.1072</v>
      </c>
      <c r="U618" s="47">
        <f>T618*1.08</f>
        <v>1913.875776</v>
      </c>
      <c r="V618" s="61"/>
      <c r="W618" s="37">
        <f t="shared" si="125"/>
        <v>69.82358402971217</v>
      </c>
      <c r="X618" s="37">
        <f t="shared" si="126"/>
        <v>214.36170212765958</v>
      </c>
    </row>
    <row r="619" spans="1:24" ht="12.75">
      <c r="A619" s="39"/>
      <c r="B619" s="40"/>
      <c r="C619" s="39"/>
      <c r="D619" s="41"/>
      <c r="E619" s="39"/>
      <c r="F619" s="39">
        <v>142</v>
      </c>
      <c r="G619" s="39" t="s">
        <v>40</v>
      </c>
      <c r="H619" s="42">
        <v>107</v>
      </c>
      <c r="I619" s="42">
        <f>H619+(H619*0.08)</f>
        <v>115.56</v>
      </c>
      <c r="J619" s="42">
        <v>285</v>
      </c>
      <c r="K619" s="42"/>
      <c r="L619" s="42"/>
      <c r="M619" s="42"/>
      <c r="N619" s="42">
        <v>301</v>
      </c>
      <c r="O619" s="42"/>
      <c r="P619" s="42"/>
      <c r="Q619" s="42">
        <f>N619+(N619*0.07)</f>
        <v>322.07</v>
      </c>
      <c r="R619" s="35">
        <f t="shared" si="121"/>
        <v>107</v>
      </c>
      <c r="S619" s="42"/>
      <c r="T619" s="47">
        <f>Q619*1.08</f>
        <v>347.8356</v>
      </c>
      <c r="U619" s="47">
        <f>T619*1.08</f>
        <v>375.66244800000004</v>
      </c>
      <c r="V619" s="61"/>
      <c r="W619" s="37">
        <f t="shared" si="125"/>
        <v>246.6251298026999</v>
      </c>
      <c r="X619" s="37">
        <f t="shared" si="126"/>
        <v>105.61403508771929</v>
      </c>
    </row>
    <row r="620" spans="1:24" ht="12.75">
      <c r="A620" s="39"/>
      <c r="B620" s="40"/>
      <c r="C620" s="39"/>
      <c r="D620" s="41"/>
      <c r="E620" s="39"/>
      <c r="F620" s="39">
        <v>149</v>
      </c>
      <c r="G620" s="39" t="s">
        <v>43</v>
      </c>
      <c r="H620" s="42">
        <v>1520</v>
      </c>
      <c r="I620" s="42">
        <v>1223</v>
      </c>
      <c r="J620" s="42">
        <v>534</v>
      </c>
      <c r="K620" s="42"/>
      <c r="L620" s="42"/>
      <c r="M620" s="42"/>
      <c r="N620" s="42">
        <v>1295</v>
      </c>
      <c r="O620" s="42"/>
      <c r="P620" s="42"/>
      <c r="Q620" s="42">
        <f>N620+(N620*0.07)</f>
        <v>1385.65</v>
      </c>
      <c r="R620" s="35">
        <f t="shared" si="121"/>
        <v>107</v>
      </c>
      <c r="S620" s="42"/>
      <c r="T620" s="47">
        <f>Q620*1.08</f>
        <v>1496.5020000000002</v>
      </c>
      <c r="U620" s="47">
        <f>T620*1.08</f>
        <v>1616.2221600000003</v>
      </c>
      <c r="V620" s="61" t="s">
        <v>259</v>
      </c>
      <c r="W620" s="37">
        <f t="shared" si="125"/>
        <v>43.66312346688471</v>
      </c>
      <c r="X620" s="37">
        <f t="shared" si="126"/>
        <v>242.50936329588012</v>
      </c>
    </row>
    <row r="621" spans="1:24" ht="12.75">
      <c r="A621" s="39"/>
      <c r="B621" s="40"/>
      <c r="C621" s="39"/>
      <c r="D621" s="41"/>
      <c r="E621" s="39"/>
      <c r="F621" s="39">
        <v>159</v>
      </c>
      <c r="G621" s="39" t="s">
        <v>46</v>
      </c>
      <c r="H621" s="42">
        <v>3</v>
      </c>
      <c r="I621" s="42">
        <v>1</v>
      </c>
      <c r="J621" s="42">
        <f>I621+(I621*0.07)</f>
        <v>1.07</v>
      </c>
      <c r="K621" s="42"/>
      <c r="L621" s="42"/>
      <c r="M621" s="42"/>
      <c r="N621" s="42">
        <v>4</v>
      </c>
      <c r="O621" s="42"/>
      <c r="P621" s="42"/>
      <c r="Q621" s="42">
        <f>N621+(N621*0.07)</f>
        <v>4.28</v>
      </c>
      <c r="R621" s="35">
        <f t="shared" si="121"/>
        <v>107</v>
      </c>
      <c r="S621" s="42"/>
      <c r="T621" s="47">
        <f>Q621*1.08</f>
        <v>4.622400000000001</v>
      </c>
      <c r="U621" s="47">
        <f>T621*1.08</f>
        <v>4.992192000000001</v>
      </c>
      <c r="V621" s="61"/>
      <c r="W621" s="37">
        <f t="shared" si="125"/>
        <v>107</v>
      </c>
      <c r="X621" s="37">
        <f t="shared" si="126"/>
        <v>373.8317757009346</v>
      </c>
    </row>
    <row r="622" spans="1:24" ht="51">
      <c r="A622" s="39"/>
      <c r="B622" s="40"/>
      <c r="C622" s="39"/>
      <c r="D622" s="41">
        <v>4</v>
      </c>
      <c r="E622" s="39"/>
      <c r="F622" s="39"/>
      <c r="G622" s="45" t="s">
        <v>260</v>
      </c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35" t="e">
        <f t="shared" si="121"/>
        <v>#DIV/0!</v>
      </c>
      <c r="S622" s="42"/>
      <c r="T622" s="47"/>
      <c r="U622" s="35"/>
      <c r="V622" s="61"/>
      <c r="W622" s="37"/>
      <c r="X622" s="37"/>
    </row>
    <row r="623" spans="1:24" ht="25.5">
      <c r="A623" s="39"/>
      <c r="B623" s="40"/>
      <c r="C623" s="39">
        <v>456</v>
      </c>
      <c r="D623" s="41"/>
      <c r="E623" s="39"/>
      <c r="F623" s="39"/>
      <c r="G623" s="39" t="s">
        <v>252</v>
      </c>
      <c r="H623" s="42" t="e">
        <f aca="true" t="shared" si="131" ref="H623:U623">H624+H635</f>
        <v>#REF!</v>
      </c>
      <c r="I623" s="42">
        <f t="shared" si="131"/>
        <v>16764.464</v>
      </c>
      <c r="J623" s="42">
        <f t="shared" si="131"/>
        <v>25629.078999999998</v>
      </c>
      <c r="K623" s="42"/>
      <c r="L623" s="42"/>
      <c r="M623" s="42"/>
      <c r="N623" s="42">
        <f t="shared" si="131"/>
        <v>25541.534099999997</v>
      </c>
      <c r="O623" s="42"/>
      <c r="P623" s="42"/>
      <c r="Q623" s="42">
        <f t="shared" si="131"/>
        <v>22007.717887</v>
      </c>
      <c r="R623" s="35">
        <f t="shared" si="121"/>
        <v>86.16443241363486</v>
      </c>
      <c r="S623" s="42"/>
      <c r="T623" s="42">
        <f t="shared" si="131"/>
        <v>27434.936917960003</v>
      </c>
      <c r="U623" s="42">
        <f t="shared" si="131"/>
        <v>28868.3334713968</v>
      </c>
      <c r="V623" s="61"/>
      <c r="W623" s="37">
        <f aca="true" t="shared" si="132" ref="W623:W631">J623/I623*100</f>
        <v>152.87741379622992</v>
      </c>
      <c r="X623" s="37">
        <f aca="true" t="shared" si="133" ref="X623:X631">N623/J623*100</f>
        <v>99.65841573940288</v>
      </c>
    </row>
    <row r="624" spans="1:24" ht="63.75">
      <c r="A624" s="39"/>
      <c r="B624" s="40"/>
      <c r="C624" s="39"/>
      <c r="D624" s="41">
        <v>1</v>
      </c>
      <c r="E624" s="39"/>
      <c r="F624" s="39"/>
      <c r="G624" s="45" t="s">
        <v>261</v>
      </c>
      <c r="H624" s="42" t="e">
        <f>#REF!+#REF!+#REF!</f>
        <v>#REF!</v>
      </c>
      <c r="I624" s="42">
        <f>SUM(I625:I634)</f>
        <v>10764.464</v>
      </c>
      <c r="J624" s="42">
        <f>SUM(J625:J634)</f>
        <v>20404.078999999998</v>
      </c>
      <c r="K624" s="42"/>
      <c r="L624" s="42">
        <v>15979</v>
      </c>
      <c r="M624" s="42">
        <v>15951</v>
      </c>
      <c r="N624" s="42">
        <f>SUM(N625:N634)</f>
        <v>19950.784099999997</v>
      </c>
      <c r="O624" s="42"/>
      <c r="P624" s="42"/>
      <c r="Q624" s="42">
        <f>SUM(Q625:Q634)-2800+400-1300</f>
        <v>16425.615386999998</v>
      </c>
      <c r="R624" s="35">
        <f t="shared" si="121"/>
        <v>82.33067585047948</v>
      </c>
      <c r="S624" s="42"/>
      <c r="T624" s="42">
        <f>SUM(T625:T634)</f>
        <v>20974.26621796</v>
      </c>
      <c r="U624" s="42">
        <f>SUM(U625:U634)</f>
        <v>21890.809115396798</v>
      </c>
      <c r="V624" s="46" t="s">
        <v>262</v>
      </c>
      <c r="W624" s="37">
        <f t="shared" si="132"/>
        <v>189.55034825700562</v>
      </c>
      <c r="X624" s="37">
        <f t="shared" si="133"/>
        <v>97.77841038549204</v>
      </c>
    </row>
    <row r="625" spans="1:24" ht="12.75">
      <c r="A625" s="39"/>
      <c r="B625" s="40"/>
      <c r="C625" s="39"/>
      <c r="D625" s="41"/>
      <c r="E625" s="39"/>
      <c r="F625" s="39">
        <v>111</v>
      </c>
      <c r="G625" s="39" t="s">
        <v>33</v>
      </c>
      <c r="H625" s="42">
        <v>5033</v>
      </c>
      <c r="I625" s="42">
        <v>5136</v>
      </c>
      <c r="J625" s="42">
        <v>6651</v>
      </c>
      <c r="K625" s="42"/>
      <c r="L625" s="42"/>
      <c r="M625" s="42"/>
      <c r="N625" s="42">
        <v>7520</v>
      </c>
      <c r="O625" s="42">
        <v>7520</v>
      </c>
      <c r="P625" s="42"/>
      <c r="Q625" s="42">
        <v>7520</v>
      </c>
      <c r="R625" s="35">
        <f t="shared" si="121"/>
        <v>100</v>
      </c>
      <c r="S625" s="42"/>
      <c r="T625" s="42">
        <v>7520</v>
      </c>
      <c r="U625" s="42">
        <v>7520</v>
      </c>
      <c r="V625" s="46"/>
      <c r="W625" s="37">
        <f t="shared" si="132"/>
        <v>129.49766355140187</v>
      </c>
      <c r="X625" s="37">
        <f t="shared" si="133"/>
        <v>113.06570440535258</v>
      </c>
    </row>
    <row r="626" spans="1:24" ht="12.75">
      <c r="A626" s="39"/>
      <c r="B626" s="40"/>
      <c r="C626" s="39"/>
      <c r="D626" s="41"/>
      <c r="E626" s="39"/>
      <c r="F626" s="39">
        <v>113</v>
      </c>
      <c r="G626" s="39" t="s">
        <v>35</v>
      </c>
      <c r="H626" s="42">
        <v>839</v>
      </c>
      <c r="I626" s="42">
        <v>951</v>
      </c>
      <c r="J626" s="42">
        <v>1253</v>
      </c>
      <c r="K626" s="42"/>
      <c r="L626" s="42"/>
      <c r="M626" s="42"/>
      <c r="N626" s="42">
        <f>J626</f>
        <v>1253</v>
      </c>
      <c r="O626" s="42"/>
      <c r="P626" s="42"/>
      <c r="Q626" s="42">
        <f>N626</f>
        <v>1253</v>
      </c>
      <c r="R626" s="35">
        <f t="shared" si="121"/>
        <v>100</v>
      </c>
      <c r="S626" s="42"/>
      <c r="T626" s="42">
        <f>Q626</f>
        <v>1253</v>
      </c>
      <c r="U626" s="42">
        <f>T626</f>
        <v>1253</v>
      </c>
      <c r="V626" s="61"/>
      <c r="W626" s="37">
        <f t="shared" si="132"/>
        <v>131.75604626708727</v>
      </c>
      <c r="X626" s="37">
        <f t="shared" si="133"/>
        <v>100</v>
      </c>
    </row>
    <row r="627" spans="1:24" ht="12.75">
      <c r="A627" s="39"/>
      <c r="B627" s="40"/>
      <c r="C627" s="39"/>
      <c r="D627" s="41"/>
      <c r="E627" s="39"/>
      <c r="F627" s="39">
        <v>121</v>
      </c>
      <c r="G627" s="39" t="s">
        <v>36</v>
      </c>
      <c r="H627" s="42">
        <v>317</v>
      </c>
      <c r="I627" s="42">
        <f>(I625-(I625*0.1))*0.06</f>
        <v>277.344</v>
      </c>
      <c r="J627" s="42">
        <f>(J625-(J625*0.1))*0.06</f>
        <v>359.15399999999994</v>
      </c>
      <c r="K627" s="42"/>
      <c r="L627" s="42"/>
      <c r="M627" s="42"/>
      <c r="N627" s="42">
        <f>(N625-(N625*0.1))*0.06</f>
        <v>406.08</v>
      </c>
      <c r="O627" s="42"/>
      <c r="P627" s="42"/>
      <c r="Q627" s="42">
        <f>(Q625-(Q625*0.1))*0.06</f>
        <v>406.08</v>
      </c>
      <c r="R627" s="35">
        <f t="shared" si="121"/>
        <v>100</v>
      </c>
      <c r="S627" s="42"/>
      <c r="T627" s="42">
        <f>(T625-(T625*0.1))*0.06</f>
        <v>406.08</v>
      </c>
      <c r="U627" s="42">
        <f>(U625-(U625*0.1))*0.06</f>
        <v>406.08</v>
      </c>
      <c r="V627" s="61"/>
      <c r="W627" s="37">
        <f t="shared" si="132"/>
        <v>129.49766355140184</v>
      </c>
      <c r="X627" s="37">
        <f t="shared" si="133"/>
        <v>113.06570440535259</v>
      </c>
    </row>
    <row r="628" spans="1:24" ht="25.5">
      <c r="A628" s="39"/>
      <c r="B628" s="40"/>
      <c r="C628" s="39"/>
      <c r="D628" s="41"/>
      <c r="E628" s="39"/>
      <c r="F628" s="39">
        <v>122</v>
      </c>
      <c r="G628" s="39" t="s">
        <v>37</v>
      </c>
      <c r="H628" s="42">
        <v>181</v>
      </c>
      <c r="I628" s="42">
        <f>(I625-(I625*0.1))*0.05</f>
        <v>231.12</v>
      </c>
      <c r="J628" s="42">
        <f>(J625-(J625*0.1))*0.05</f>
        <v>299.295</v>
      </c>
      <c r="K628" s="42"/>
      <c r="L628" s="42"/>
      <c r="M628" s="42"/>
      <c r="N628" s="42">
        <f>(N625-(N625*0.1))*0.05</f>
        <v>338.40000000000003</v>
      </c>
      <c r="O628" s="42"/>
      <c r="P628" s="42"/>
      <c r="Q628" s="42">
        <f>(Q625-(Q625*0.1))*0.05</f>
        <v>338.40000000000003</v>
      </c>
      <c r="R628" s="35">
        <f t="shared" si="121"/>
        <v>100</v>
      </c>
      <c r="S628" s="42"/>
      <c r="T628" s="42">
        <f>(T625-(T625*0.1))*0.05</f>
        <v>338.40000000000003</v>
      </c>
      <c r="U628" s="42">
        <f>(U625-(U625*0.1))*0.05</f>
        <v>338.40000000000003</v>
      </c>
      <c r="V628" s="61"/>
      <c r="W628" s="37">
        <f t="shared" si="132"/>
        <v>129.49766355140187</v>
      </c>
      <c r="X628" s="37">
        <f t="shared" si="133"/>
        <v>113.06570440535258</v>
      </c>
    </row>
    <row r="629" spans="1:24" ht="38.25">
      <c r="A629" s="39"/>
      <c r="B629" s="40"/>
      <c r="C629" s="39"/>
      <c r="D629" s="41"/>
      <c r="E629" s="39"/>
      <c r="F629" s="39">
        <v>125</v>
      </c>
      <c r="G629" s="39" t="s">
        <v>38</v>
      </c>
      <c r="H629" s="42">
        <v>7</v>
      </c>
      <c r="I629" s="42">
        <v>9</v>
      </c>
      <c r="J629" s="42">
        <f>I629+(I629*0.07)</f>
        <v>9.63</v>
      </c>
      <c r="K629" s="42"/>
      <c r="L629" s="42"/>
      <c r="M629" s="42"/>
      <c r="N629" s="42">
        <f>J629+(J629*0.07)</f>
        <v>10.304100000000002</v>
      </c>
      <c r="O629" s="42"/>
      <c r="P629" s="42"/>
      <c r="Q629" s="42">
        <f>N629+(N629*0.07)</f>
        <v>11.025387000000002</v>
      </c>
      <c r="R629" s="35">
        <f t="shared" si="121"/>
        <v>107</v>
      </c>
      <c r="S629" s="42"/>
      <c r="T629" s="47">
        <f aca="true" t="shared" si="134" ref="T629:T634">Q629*1.08</f>
        <v>11.907417960000004</v>
      </c>
      <c r="U629" s="47">
        <f>T629*1.08</f>
        <v>12.860011396800004</v>
      </c>
      <c r="V629" s="61"/>
      <c r="W629" s="37">
        <f t="shared" si="132"/>
        <v>107</v>
      </c>
      <c r="X629" s="37">
        <f t="shared" si="133"/>
        <v>107</v>
      </c>
    </row>
    <row r="630" spans="1:24" ht="12.75">
      <c r="A630" s="39"/>
      <c r="B630" s="40"/>
      <c r="C630" s="39"/>
      <c r="D630" s="41"/>
      <c r="E630" s="39"/>
      <c r="F630" s="39">
        <v>139</v>
      </c>
      <c r="G630" s="39" t="s">
        <v>39</v>
      </c>
      <c r="H630" s="42">
        <v>1078</v>
      </c>
      <c r="I630" s="42">
        <v>998</v>
      </c>
      <c r="J630" s="42">
        <v>535</v>
      </c>
      <c r="K630" s="42"/>
      <c r="L630" s="42"/>
      <c r="M630" s="42"/>
      <c r="N630" s="42">
        <v>1005</v>
      </c>
      <c r="O630" s="42"/>
      <c r="P630" s="42"/>
      <c r="Q630" s="42">
        <f>N630+(N630*0.07)</f>
        <v>1075.35</v>
      </c>
      <c r="R630" s="35">
        <f t="shared" si="121"/>
        <v>106.99999999999999</v>
      </c>
      <c r="S630" s="42"/>
      <c r="T630" s="47">
        <f t="shared" si="134"/>
        <v>1161.378</v>
      </c>
      <c r="U630" s="47">
        <f>T630*1.08</f>
        <v>1254.28824</v>
      </c>
      <c r="V630" s="61"/>
      <c r="W630" s="37">
        <f t="shared" si="132"/>
        <v>53.607214428857716</v>
      </c>
      <c r="X630" s="37">
        <f t="shared" si="133"/>
        <v>187.85046728971963</v>
      </c>
    </row>
    <row r="631" spans="1:24" ht="12.75">
      <c r="A631" s="39"/>
      <c r="B631" s="40"/>
      <c r="C631" s="39"/>
      <c r="D631" s="41"/>
      <c r="E631" s="39"/>
      <c r="F631" s="39">
        <v>142</v>
      </c>
      <c r="G631" s="39" t="s">
        <v>40</v>
      </c>
      <c r="H631" s="42">
        <v>123</v>
      </c>
      <c r="I631" s="42">
        <v>152</v>
      </c>
      <c r="J631" s="42">
        <v>197</v>
      </c>
      <c r="K631" s="42"/>
      <c r="L631" s="42"/>
      <c r="M631" s="42"/>
      <c r="N631" s="42">
        <v>306</v>
      </c>
      <c r="O631" s="42"/>
      <c r="P631" s="42"/>
      <c r="Q631" s="42">
        <f>N631+(N631*0.07)</f>
        <v>327.42</v>
      </c>
      <c r="R631" s="35">
        <f t="shared" si="121"/>
        <v>107</v>
      </c>
      <c r="S631" s="42"/>
      <c r="T631" s="47">
        <f t="shared" si="134"/>
        <v>353.6136</v>
      </c>
      <c r="U631" s="47">
        <f>T631*1.08</f>
        <v>381.90268800000007</v>
      </c>
      <c r="V631" s="61"/>
      <c r="W631" s="37">
        <f t="shared" si="132"/>
        <v>129.60526315789474</v>
      </c>
      <c r="X631" s="37">
        <f t="shared" si="133"/>
        <v>155.32994923857868</v>
      </c>
    </row>
    <row r="632" spans="1:24" ht="25.5">
      <c r="A632" s="39"/>
      <c r="B632" s="40"/>
      <c r="C632" s="39"/>
      <c r="D632" s="41"/>
      <c r="E632" s="39"/>
      <c r="F632" s="39">
        <v>148</v>
      </c>
      <c r="G632" s="39" t="s">
        <v>263</v>
      </c>
      <c r="H632" s="42"/>
      <c r="I632" s="42"/>
      <c r="J632" s="42">
        <f>5000+3500</f>
        <v>8500</v>
      </c>
      <c r="K632" s="42"/>
      <c r="L632" s="42"/>
      <c r="M632" s="42"/>
      <c r="N632" s="42">
        <f>5000</f>
        <v>5000</v>
      </c>
      <c r="O632" s="42"/>
      <c r="P632" s="42"/>
      <c r="Q632" s="42">
        <v>5000</v>
      </c>
      <c r="R632" s="35">
        <f t="shared" si="121"/>
        <v>100</v>
      </c>
      <c r="S632" s="42"/>
      <c r="T632" s="47">
        <f t="shared" si="134"/>
        <v>5400</v>
      </c>
      <c r="U632" s="47">
        <f>T632*1.08</f>
        <v>5832</v>
      </c>
      <c r="V632" s="48" t="s">
        <v>264</v>
      </c>
      <c r="W632" s="37"/>
      <c r="X632" s="37"/>
    </row>
    <row r="633" spans="1:24" ht="12.75">
      <c r="A633" s="39"/>
      <c r="B633" s="40"/>
      <c r="C633" s="39"/>
      <c r="D633" s="41"/>
      <c r="E633" s="39"/>
      <c r="F633" s="39">
        <v>149</v>
      </c>
      <c r="G633" s="39" t="s">
        <v>43</v>
      </c>
      <c r="H633" s="42">
        <v>1111</v>
      </c>
      <c r="I633" s="42">
        <f>2970+34</f>
        <v>3004</v>
      </c>
      <c r="J633" s="42">
        <v>2593</v>
      </c>
      <c r="K633" s="42"/>
      <c r="L633" s="42"/>
      <c r="M633" s="42"/>
      <c r="N633" s="42">
        <v>4110</v>
      </c>
      <c r="O633" s="42"/>
      <c r="P633" s="42"/>
      <c r="Q633" s="42">
        <f>N633+(N633*0.02)</f>
        <v>4192.2</v>
      </c>
      <c r="R633" s="35">
        <f t="shared" si="121"/>
        <v>102</v>
      </c>
      <c r="S633" s="42"/>
      <c r="T633" s="47">
        <f t="shared" si="134"/>
        <v>4527.576</v>
      </c>
      <c r="U633" s="47">
        <f>T633*1.08</f>
        <v>4889.78208</v>
      </c>
      <c r="V633" s="61" t="s">
        <v>265</v>
      </c>
      <c r="W633" s="37">
        <f>J633/I633*100</f>
        <v>86.31824234354194</v>
      </c>
      <c r="X633" s="37">
        <f>N633/J633*100</f>
        <v>158.50366370998842</v>
      </c>
    </row>
    <row r="634" spans="1:24" ht="12.75">
      <c r="A634" s="39"/>
      <c r="B634" s="40"/>
      <c r="C634" s="39"/>
      <c r="D634" s="41"/>
      <c r="E634" s="39"/>
      <c r="F634" s="39">
        <v>159</v>
      </c>
      <c r="G634" s="39" t="s">
        <v>46</v>
      </c>
      <c r="H634" s="42">
        <v>7</v>
      </c>
      <c r="I634" s="42">
        <v>6</v>
      </c>
      <c r="J634" s="42">
        <v>7</v>
      </c>
      <c r="K634" s="42"/>
      <c r="L634" s="42"/>
      <c r="M634" s="42"/>
      <c r="N634" s="42">
        <v>2</v>
      </c>
      <c r="O634" s="42"/>
      <c r="P634" s="42"/>
      <c r="Q634" s="42">
        <f>N634+(N634*0.07)</f>
        <v>2.14</v>
      </c>
      <c r="R634" s="35">
        <f t="shared" si="121"/>
        <v>107</v>
      </c>
      <c r="S634" s="42"/>
      <c r="T634" s="47">
        <f t="shared" si="134"/>
        <v>2.3112000000000004</v>
      </c>
      <c r="U634" s="47">
        <f>T634*1.08</f>
        <v>2.4960960000000005</v>
      </c>
      <c r="V634" s="61"/>
      <c r="W634" s="37">
        <f>J634/I634*100</f>
        <v>116.66666666666667</v>
      </c>
      <c r="X634" s="37">
        <f>N634/J634*100</f>
        <v>28.57142857142857</v>
      </c>
    </row>
    <row r="635" spans="1:24" ht="25.5">
      <c r="A635" s="39"/>
      <c r="B635" s="40"/>
      <c r="C635" s="39"/>
      <c r="D635" s="41">
        <v>3</v>
      </c>
      <c r="E635" s="39"/>
      <c r="F635" s="39"/>
      <c r="G635" s="45" t="s">
        <v>266</v>
      </c>
      <c r="H635" s="42">
        <f>H636</f>
        <v>0</v>
      </c>
      <c r="I635" s="42">
        <f>I636</f>
        <v>6000</v>
      </c>
      <c r="J635" s="42">
        <f>J636</f>
        <v>5225</v>
      </c>
      <c r="K635" s="42"/>
      <c r="L635" s="42"/>
      <c r="M635" s="42"/>
      <c r="N635" s="42">
        <f>N636</f>
        <v>5590.75</v>
      </c>
      <c r="O635" s="42"/>
      <c r="P635" s="42"/>
      <c r="Q635" s="42">
        <f>Q636-400</f>
        <v>5582.1025</v>
      </c>
      <c r="R635" s="35">
        <f t="shared" si="121"/>
        <v>99.84532486696776</v>
      </c>
      <c r="S635" s="42"/>
      <c r="T635" s="42">
        <f>T636</f>
        <v>6460.670700000001</v>
      </c>
      <c r="U635" s="42">
        <f>U636</f>
        <v>6977.524356000001</v>
      </c>
      <c r="V635" s="48"/>
      <c r="W635" s="37"/>
      <c r="X635" s="37"/>
    </row>
    <row r="636" spans="1:24" ht="12.75">
      <c r="A636" s="39"/>
      <c r="B636" s="40"/>
      <c r="C636" s="39"/>
      <c r="D636" s="41"/>
      <c r="E636" s="39"/>
      <c r="F636" s="39">
        <v>149</v>
      </c>
      <c r="G636" s="39" t="s">
        <v>43</v>
      </c>
      <c r="H636" s="42"/>
      <c r="I636" s="42">
        <f>4860+1140</f>
        <v>6000</v>
      </c>
      <c r="J636" s="42">
        <v>5225</v>
      </c>
      <c r="K636" s="42"/>
      <c r="L636" s="42"/>
      <c r="M636" s="42"/>
      <c r="N636" s="70">
        <f>J636*1.07</f>
        <v>5590.75</v>
      </c>
      <c r="O636" s="70"/>
      <c r="P636" s="70"/>
      <c r="Q636" s="70">
        <f>N636*1.07</f>
        <v>5982.1025</v>
      </c>
      <c r="R636" s="35">
        <f t="shared" si="121"/>
        <v>107</v>
      </c>
      <c r="S636" s="70"/>
      <c r="T636" s="70">
        <f>Q636*1.08</f>
        <v>6460.670700000001</v>
      </c>
      <c r="U636" s="70">
        <f>T636*1.08</f>
        <v>6977.524356000001</v>
      </c>
      <c r="V636" s="61"/>
      <c r="W636" s="37"/>
      <c r="X636" s="37"/>
    </row>
    <row r="637" spans="1:24" ht="25.5">
      <c r="A637" s="39"/>
      <c r="B637" s="40"/>
      <c r="C637" s="39">
        <v>465</v>
      </c>
      <c r="D637" s="41"/>
      <c r="E637" s="39"/>
      <c r="F637" s="39"/>
      <c r="G637" s="39" t="s">
        <v>239</v>
      </c>
      <c r="H637" s="42" t="e">
        <f aca="true" t="shared" si="135" ref="H637:U637">H638</f>
        <v>#REF!</v>
      </c>
      <c r="I637" s="42">
        <f t="shared" si="135"/>
        <v>5277.157</v>
      </c>
      <c r="J637" s="42">
        <f t="shared" si="135"/>
        <v>4843.921</v>
      </c>
      <c r="K637" s="42"/>
      <c r="L637" s="42"/>
      <c r="M637" s="42"/>
      <c r="N637" s="42">
        <f t="shared" si="135"/>
        <v>6579.432000000001</v>
      </c>
      <c r="O637" s="42"/>
      <c r="P637" s="42"/>
      <c r="Q637" s="42">
        <f t="shared" si="135"/>
        <v>6740.523</v>
      </c>
      <c r="R637" s="35">
        <f t="shared" si="121"/>
        <v>102.44840284085312</v>
      </c>
      <c r="S637" s="42"/>
      <c r="T637" s="42">
        <f t="shared" si="135"/>
        <v>6975.1252</v>
      </c>
      <c r="U637" s="42">
        <f t="shared" si="135"/>
        <v>7189.327216000001</v>
      </c>
      <c r="V637" s="61"/>
      <c r="W637" s="37">
        <f aca="true" t="shared" si="136" ref="W637:W647">J637/I637*100</f>
        <v>91.79035226732879</v>
      </c>
      <c r="X637" s="37">
        <f aca="true" t="shared" si="137" ref="X637:X647">N637/J637*100</f>
        <v>135.82863964957315</v>
      </c>
    </row>
    <row r="638" spans="1:24" ht="38.25">
      <c r="A638" s="39"/>
      <c r="B638" s="40"/>
      <c r="C638" s="39"/>
      <c r="D638" s="41">
        <v>1</v>
      </c>
      <c r="E638" s="39"/>
      <c r="F638" s="39"/>
      <c r="G638" s="45" t="s">
        <v>267</v>
      </c>
      <c r="H638" s="42" t="e">
        <f>#REF!+#REF!+#REF!</f>
        <v>#REF!</v>
      </c>
      <c r="I638" s="42">
        <f>SUM(I639:I647)</f>
        <v>5277.157</v>
      </c>
      <c r="J638" s="42">
        <f>SUM(J639:J647)</f>
        <v>4843.921</v>
      </c>
      <c r="K638" s="42"/>
      <c r="L638" s="42">
        <v>5388</v>
      </c>
      <c r="M638" s="42">
        <v>5380</v>
      </c>
      <c r="N638" s="42">
        <f>SUM(N639:N647)</f>
        <v>6579.432000000001</v>
      </c>
      <c r="O638" s="42">
        <f aca="true" t="shared" si="138" ref="O638:U638">SUM(O639:O647)</f>
        <v>0</v>
      </c>
      <c r="P638" s="42"/>
      <c r="Q638" s="42">
        <f t="shared" si="138"/>
        <v>6740.523</v>
      </c>
      <c r="R638" s="35">
        <f t="shared" si="121"/>
        <v>102.44840284085312</v>
      </c>
      <c r="S638" s="42"/>
      <c r="T638" s="42">
        <f t="shared" si="138"/>
        <v>6975.1252</v>
      </c>
      <c r="U638" s="42">
        <f t="shared" si="138"/>
        <v>7189.327216000001</v>
      </c>
      <c r="V638" s="61" t="s">
        <v>268</v>
      </c>
      <c r="W638" s="37">
        <f t="shared" si="136"/>
        <v>91.79035226732879</v>
      </c>
      <c r="X638" s="37">
        <f t="shared" si="137"/>
        <v>135.82863964957315</v>
      </c>
    </row>
    <row r="639" spans="1:24" ht="12.75">
      <c r="A639" s="39"/>
      <c r="B639" s="40"/>
      <c r="C639" s="39"/>
      <c r="D639" s="41"/>
      <c r="E639" s="39"/>
      <c r="F639" s="39">
        <v>111</v>
      </c>
      <c r="G639" s="39" t="s">
        <v>33</v>
      </c>
      <c r="H639" s="42">
        <v>2502</v>
      </c>
      <c r="I639" s="42">
        <v>2783</v>
      </c>
      <c r="J639" s="42">
        <v>2979</v>
      </c>
      <c r="K639" s="42"/>
      <c r="L639" s="42"/>
      <c r="M639" s="42"/>
      <c r="N639" s="42">
        <v>3368</v>
      </c>
      <c r="O639" s="42"/>
      <c r="P639" s="42"/>
      <c r="Q639" s="42">
        <v>3367</v>
      </c>
      <c r="R639" s="35">
        <f t="shared" si="121"/>
        <v>99.97030878859857</v>
      </c>
      <c r="S639" s="42"/>
      <c r="T639" s="42">
        <v>3400</v>
      </c>
      <c r="U639" s="42">
        <v>3400</v>
      </c>
      <c r="V639" s="46"/>
      <c r="W639" s="37">
        <f t="shared" si="136"/>
        <v>107.04275961192957</v>
      </c>
      <c r="X639" s="37">
        <f t="shared" si="137"/>
        <v>113.05807317891909</v>
      </c>
    </row>
    <row r="640" spans="1:24" ht="12.75">
      <c r="A640" s="39"/>
      <c r="B640" s="40"/>
      <c r="C640" s="39"/>
      <c r="D640" s="41"/>
      <c r="E640" s="39"/>
      <c r="F640" s="39">
        <v>113</v>
      </c>
      <c r="G640" s="39" t="s">
        <v>35</v>
      </c>
      <c r="H640" s="42">
        <v>417</v>
      </c>
      <c r="I640" s="42">
        <v>515</v>
      </c>
      <c r="J640" s="42">
        <v>561</v>
      </c>
      <c r="K640" s="42"/>
      <c r="L640" s="42"/>
      <c r="M640" s="42"/>
      <c r="N640" s="42">
        <f>J640</f>
        <v>561</v>
      </c>
      <c r="O640" s="42"/>
      <c r="P640" s="42"/>
      <c r="Q640" s="42">
        <f>N640</f>
        <v>561</v>
      </c>
      <c r="R640" s="35">
        <f t="shared" si="121"/>
        <v>100</v>
      </c>
      <c r="S640" s="42"/>
      <c r="T640" s="42">
        <f>Q640</f>
        <v>561</v>
      </c>
      <c r="U640" s="42">
        <f>T640</f>
        <v>561</v>
      </c>
      <c r="V640" s="61"/>
      <c r="W640" s="37">
        <f t="shared" si="136"/>
        <v>108.93203883495146</v>
      </c>
      <c r="X640" s="37">
        <f t="shared" si="137"/>
        <v>100</v>
      </c>
    </row>
    <row r="641" spans="1:24" ht="12.75">
      <c r="A641" s="39"/>
      <c r="B641" s="40"/>
      <c r="C641" s="39"/>
      <c r="D641" s="41"/>
      <c r="E641" s="39"/>
      <c r="F641" s="39">
        <v>121</v>
      </c>
      <c r="G641" s="39" t="s">
        <v>36</v>
      </c>
      <c r="H641" s="42">
        <v>158</v>
      </c>
      <c r="I641" s="42">
        <f>(I639-(I639*0.1))*0.06</f>
        <v>150.28199999999998</v>
      </c>
      <c r="J641" s="42">
        <f>(J639-(J639*0.1))*0.06</f>
        <v>160.86599999999999</v>
      </c>
      <c r="K641" s="42"/>
      <c r="L641" s="42"/>
      <c r="M641" s="42"/>
      <c r="N641" s="42">
        <f>(N639-(N639*0.1))*0.06</f>
        <v>181.87199999999999</v>
      </c>
      <c r="O641" s="42"/>
      <c r="P641" s="42"/>
      <c r="Q641" s="42">
        <f>(Q639-(Q639*0.1))*0.06</f>
        <v>181.818</v>
      </c>
      <c r="R641" s="35">
        <f t="shared" si="121"/>
        <v>99.9703087885986</v>
      </c>
      <c r="S641" s="42"/>
      <c r="T641" s="42">
        <f>(T639-(T639*0.1))*0.06</f>
        <v>183.6</v>
      </c>
      <c r="U641" s="42">
        <f>(U639-(U639*0.1))*0.06</f>
        <v>183.6</v>
      </c>
      <c r="V641" s="61"/>
      <c r="W641" s="37">
        <f t="shared" si="136"/>
        <v>107.04275961192957</v>
      </c>
      <c r="X641" s="37">
        <f t="shared" si="137"/>
        <v>113.05807317891909</v>
      </c>
    </row>
    <row r="642" spans="1:24" ht="25.5">
      <c r="A642" s="39"/>
      <c r="B642" s="40"/>
      <c r="C642" s="39"/>
      <c r="D642" s="41"/>
      <c r="E642" s="39"/>
      <c r="F642" s="39">
        <v>122</v>
      </c>
      <c r="G642" s="39" t="s">
        <v>37</v>
      </c>
      <c r="H642" s="42">
        <v>90</v>
      </c>
      <c r="I642" s="42">
        <f>(I639-(I639*0.1))*0.05</f>
        <v>125.235</v>
      </c>
      <c r="J642" s="42">
        <f>(J639-(J639*0.1))*0.05</f>
        <v>134.055</v>
      </c>
      <c r="K642" s="42"/>
      <c r="L642" s="42"/>
      <c r="M642" s="42"/>
      <c r="N642" s="42">
        <f>(N639-(N639*0.1))*0.05</f>
        <v>151.56</v>
      </c>
      <c r="O642" s="42"/>
      <c r="P642" s="42"/>
      <c r="Q642" s="42">
        <f>(Q639-(Q639*0.1))*0.05</f>
        <v>151.51500000000001</v>
      </c>
      <c r="R642" s="35">
        <f t="shared" si="121"/>
        <v>99.97030878859859</v>
      </c>
      <c r="S642" s="42"/>
      <c r="T642" s="42">
        <f>(T639-(T639*0.1))*0.05</f>
        <v>153</v>
      </c>
      <c r="U642" s="42">
        <f>(U639-(U639*0.1))*0.05</f>
        <v>153</v>
      </c>
      <c r="V642" s="61"/>
      <c r="W642" s="37">
        <f t="shared" si="136"/>
        <v>107.04275961192957</v>
      </c>
      <c r="X642" s="37">
        <f t="shared" si="137"/>
        <v>113.05807317891909</v>
      </c>
    </row>
    <row r="643" spans="1:24" ht="38.25">
      <c r="A643" s="39"/>
      <c r="B643" s="40"/>
      <c r="C643" s="39"/>
      <c r="D643" s="41"/>
      <c r="E643" s="39"/>
      <c r="F643" s="39">
        <v>125</v>
      </c>
      <c r="G643" s="39" t="s">
        <v>38</v>
      </c>
      <c r="H643" s="42">
        <v>8</v>
      </c>
      <c r="I643" s="42">
        <f>H643+(H643*0.08)</f>
        <v>8.64</v>
      </c>
      <c r="J643" s="42"/>
      <c r="K643" s="42"/>
      <c r="L643" s="42"/>
      <c r="M643" s="42"/>
      <c r="N643" s="42">
        <v>10</v>
      </c>
      <c r="O643" s="42"/>
      <c r="P643" s="42"/>
      <c r="Q643" s="42">
        <f>N643+(N643*0.07)</f>
        <v>10.7</v>
      </c>
      <c r="R643" s="35">
        <f t="shared" si="121"/>
        <v>106.99999999999999</v>
      </c>
      <c r="S643" s="42"/>
      <c r="T643" s="47">
        <f>Q643*1.08</f>
        <v>11.556</v>
      </c>
      <c r="U643" s="47">
        <f>T643*1.08</f>
        <v>12.48048</v>
      </c>
      <c r="V643" s="61"/>
      <c r="W643" s="37">
        <f t="shared" si="136"/>
        <v>0</v>
      </c>
      <c r="X643" s="37" t="e">
        <f t="shared" si="137"/>
        <v>#DIV/0!</v>
      </c>
    </row>
    <row r="644" spans="1:24" ht="12.75">
      <c r="A644" s="39"/>
      <c r="B644" s="40"/>
      <c r="C644" s="39"/>
      <c r="D644" s="41"/>
      <c r="E644" s="39"/>
      <c r="F644" s="39">
        <v>139</v>
      </c>
      <c r="G644" s="39" t="s">
        <v>39</v>
      </c>
      <c r="H644" s="42">
        <v>524</v>
      </c>
      <c r="I644" s="42">
        <v>680</v>
      </c>
      <c r="J644" s="42">
        <v>196</v>
      </c>
      <c r="K644" s="42"/>
      <c r="L644" s="42"/>
      <c r="M644" s="42"/>
      <c r="N644" s="42">
        <v>501</v>
      </c>
      <c r="O644" s="42"/>
      <c r="P644" s="42"/>
      <c r="Q644" s="42">
        <f>N644+(N644*0.07)</f>
        <v>536.07</v>
      </c>
      <c r="R644" s="35">
        <f t="shared" si="121"/>
        <v>107</v>
      </c>
      <c r="S644" s="42"/>
      <c r="T644" s="47">
        <f>Q644*1.08</f>
        <v>578.9556000000001</v>
      </c>
      <c r="U644" s="47">
        <f>T644*1.08</f>
        <v>625.2720480000002</v>
      </c>
      <c r="V644" s="61"/>
      <c r="W644" s="37">
        <f t="shared" si="136"/>
        <v>28.823529411764703</v>
      </c>
      <c r="X644" s="37">
        <f t="shared" si="137"/>
        <v>255.6122448979592</v>
      </c>
    </row>
    <row r="645" spans="1:24" ht="12.75">
      <c r="A645" s="39"/>
      <c r="B645" s="40"/>
      <c r="C645" s="39"/>
      <c r="D645" s="41"/>
      <c r="E645" s="39"/>
      <c r="F645" s="39">
        <v>142</v>
      </c>
      <c r="G645" s="39" t="s">
        <v>40</v>
      </c>
      <c r="H645" s="42">
        <v>132</v>
      </c>
      <c r="I645" s="42">
        <v>118</v>
      </c>
      <c r="J645" s="42">
        <v>153</v>
      </c>
      <c r="K645" s="42"/>
      <c r="L645" s="42"/>
      <c r="M645" s="42"/>
      <c r="N645" s="42">
        <v>203</v>
      </c>
      <c r="O645" s="42"/>
      <c r="P645" s="42"/>
      <c r="Q645" s="42">
        <f>N645+(N645*0.07)</f>
        <v>217.21</v>
      </c>
      <c r="R645" s="35">
        <f t="shared" si="121"/>
        <v>107</v>
      </c>
      <c r="S645" s="42"/>
      <c r="T645" s="47">
        <f>Q645*1.08</f>
        <v>234.5868</v>
      </c>
      <c r="U645" s="47">
        <f>T645*1.08</f>
        <v>253.35374400000003</v>
      </c>
      <c r="V645" s="61"/>
      <c r="W645" s="37">
        <f t="shared" si="136"/>
        <v>129.66101694915255</v>
      </c>
      <c r="X645" s="37">
        <f t="shared" si="137"/>
        <v>132.6797385620915</v>
      </c>
    </row>
    <row r="646" spans="1:24" ht="12.75">
      <c r="A646" s="39"/>
      <c r="B646" s="40"/>
      <c r="C646" s="39"/>
      <c r="D646" s="41"/>
      <c r="E646" s="39"/>
      <c r="F646" s="39">
        <v>149</v>
      </c>
      <c r="G646" s="39" t="s">
        <v>43</v>
      </c>
      <c r="H646" s="42">
        <v>849</v>
      </c>
      <c r="I646" s="42">
        <v>895</v>
      </c>
      <c r="J646" s="42">
        <v>660</v>
      </c>
      <c r="K646" s="42"/>
      <c r="L646" s="42"/>
      <c r="M646" s="42"/>
      <c r="N646" s="42">
        <v>1603</v>
      </c>
      <c r="O646" s="42"/>
      <c r="P646" s="42"/>
      <c r="Q646" s="42">
        <f>N646+(N646*0.07)</f>
        <v>1715.21</v>
      </c>
      <c r="R646" s="35">
        <f t="shared" si="121"/>
        <v>107</v>
      </c>
      <c r="S646" s="42"/>
      <c r="T646" s="47">
        <f>Q646*1.08</f>
        <v>1852.4268000000002</v>
      </c>
      <c r="U646" s="47">
        <f>T646*1.08</f>
        <v>2000.6209440000002</v>
      </c>
      <c r="V646" s="61" t="s">
        <v>269</v>
      </c>
      <c r="W646" s="37">
        <f t="shared" si="136"/>
        <v>73.74301675977654</v>
      </c>
      <c r="X646" s="37">
        <f t="shared" si="137"/>
        <v>242.87878787878788</v>
      </c>
    </row>
    <row r="647" spans="1:24" ht="12.75">
      <c r="A647" s="39"/>
      <c r="B647" s="40"/>
      <c r="C647" s="39"/>
      <c r="D647" s="41"/>
      <c r="E647" s="39"/>
      <c r="F647" s="39">
        <v>159</v>
      </c>
      <c r="G647" s="39" t="s">
        <v>46</v>
      </c>
      <c r="H647" s="42">
        <v>2</v>
      </c>
      <c r="I647" s="42">
        <v>2</v>
      </c>
      <c r="J647" s="42"/>
      <c r="K647" s="42"/>
      <c r="L647" s="42"/>
      <c r="M647" s="42"/>
      <c r="N647" s="42">
        <f>J647+(J647*0.07)</f>
        <v>0</v>
      </c>
      <c r="O647" s="42"/>
      <c r="P647" s="42"/>
      <c r="Q647" s="42">
        <f>N647+(N647*0.07)</f>
        <v>0</v>
      </c>
      <c r="R647" s="35" t="e">
        <f t="shared" si="121"/>
        <v>#DIV/0!</v>
      </c>
      <c r="S647" s="42"/>
      <c r="T647" s="47"/>
      <c r="U647" s="35"/>
      <c r="V647" s="61"/>
      <c r="W647" s="37">
        <f t="shared" si="136"/>
        <v>0</v>
      </c>
      <c r="X647" s="37" t="e">
        <f t="shared" si="137"/>
        <v>#DIV/0!</v>
      </c>
    </row>
    <row r="648" spans="1:24" ht="25.5">
      <c r="A648" s="39">
        <v>9</v>
      </c>
      <c r="B648" s="40"/>
      <c r="C648" s="39"/>
      <c r="D648" s="41"/>
      <c r="E648" s="39"/>
      <c r="F648" s="39"/>
      <c r="G648" s="51" t="s">
        <v>270</v>
      </c>
      <c r="H648" s="42">
        <f aca="true" t="shared" si="139" ref="H648:N650">H649</f>
        <v>0</v>
      </c>
      <c r="I648" s="42">
        <f t="shared" si="139"/>
        <v>0</v>
      </c>
      <c r="J648" s="42">
        <f t="shared" si="139"/>
        <v>0</v>
      </c>
      <c r="K648" s="42"/>
      <c r="L648" s="42"/>
      <c r="M648" s="42"/>
      <c r="N648" s="42">
        <f t="shared" si="139"/>
        <v>0</v>
      </c>
      <c r="O648" s="42"/>
      <c r="P648" s="42"/>
      <c r="Q648" s="42"/>
      <c r="R648" s="35" t="e">
        <f t="shared" si="121"/>
        <v>#DIV/0!</v>
      </c>
      <c r="S648" s="42"/>
      <c r="T648" s="47"/>
      <c r="U648" s="35"/>
      <c r="V648" s="61"/>
      <c r="W648" s="37"/>
      <c r="X648" s="37"/>
    </row>
    <row r="649" spans="1:24" ht="25.5">
      <c r="A649" s="39"/>
      <c r="B649" s="40" t="s">
        <v>134</v>
      </c>
      <c r="C649" s="39"/>
      <c r="D649" s="41"/>
      <c r="E649" s="39"/>
      <c r="F649" s="39"/>
      <c r="G649" s="39" t="s">
        <v>271</v>
      </c>
      <c r="H649" s="42">
        <f t="shared" si="139"/>
        <v>0</v>
      </c>
      <c r="I649" s="42">
        <f t="shared" si="139"/>
        <v>0</v>
      </c>
      <c r="J649" s="42">
        <f t="shared" si="139"/>
        <v>0</v>
      </c>
      <c r="K649" s="42"/>
      <c r="L649" s="42"/>
      <c r="M649" s="42"/>
      <c r="N649" s="42">
        <f t="shared" si="139"/>
        <v>0</v>
      </c>
      <c r="O649" s="42"/>
      <c r="P649" s="42"/>
      <c r="Q649" s="42"/>
      <c r="R649" s="35" t="e">
        <f t="shared" si="121"/>
        <v>#DIV/0!</v>
      </c>
      <c r="S649" s="42"/>
      <c r="T649" s="47"/>
      <c r="U649" s="35"/>
      <c r="V649" s="61"/>
      <c r="W649" s="37"/>
      <c r="X649" s="37"/>
    </row>
    <row r="650" spans="1:24" ht="25.5">
      <c r="A650" s="39"/>
      <c r="B650" s="40"/>
      <c r="C650" s="39">
        <v>467</v>
      </c>
      <c r="D650" s="41"/>
      <c r="E650" s="39"/>
      <c r="F650" s="39"/>
      <c r="G650" s="39" t="s">
        <v>202</v>
      </c>
      <c r="H650" s="42">
        <f t="shared" si="139"/>
        <v>0</v>
      </c>
      <c r="I650" s="42">
        <f t="shared" si="139"/>
        <v>0</v>
      </c>
      <c r="J650" s="42">
        <f t="shared" si="139"/>
        <v>0</v>
      </c>
      <c r="K650" s="42"/>
      <c r="L650" s="42"/>
      <c r="M650" s="42"/>
      <c r="N650" s="42">
        <f t="shared" si="139"/>
        <v>0</v>
      </c>
      <c r="O650" s="42"/>
      <c r="P650" s="42"/>
      <c r="Q650" s="42"/>
      <c r="R650" s="35" t="e">
        <f t="shared" si="121"/>
        <v>#DIV/0!</v>
      </c>
      <c r="S650" s="42"/>
      <c r="T650" s="47"/>
      <c r="U650" s="35"/>
      <c r="V650" s="61"/>
      <c r="W650" s="37"/>
      <c r="X650" s="37"/>
    </row>
    <row r="651" spans="1:24" ht="12.75">
      <c r="A651" s="39"/>
      <c r="B651" s="40"/>
      <c r="C651" s="39"/>
      <c r="D651" s="71">
        <v>9</v>
      </c>
      <c r="E651" s="51"/>
      <c r="F651" s="51"/>
      <c r="G651" s="51" t="s">
        <v>272</v>
      </c>
      <c r="H651" s="42">
        <f>H652+H654</f>
        <v>0</v>
      </c>
      <c r="I651" s="42">
        <f>I652+I654</f>
        <v>0</v>
      </c>
      <c r="J651" s="42">
        <f>J652+J654</f>
        <v>0</v>
      </c>
      <c r="K651" s="42"/>
      <c r="L651" s="42"/>
      <c r="M651" s="42"/>
      <c r="N651" s="42">
        <f>N652+N654</f>
        <v>0</v>
      </c>
      <c r="O651" s="42"/>
      <c r="P651" s="42"/>
      <c r="Q651" s="42"/>
      <c r="R651" s="35" t="e">
        <f aca="true" t="shared" si="140" ref="R651:R714">Q651/N651*100</f>
        <v>#DIV/0!</v>
      </c>
      <c r="S651" s="42"/>
      <c r="T651" s="47"/>
      <c r="U651" s="35"/>
      <c r="V651" s="61"/>
      <c r="W651" s="37"/>
      <c r="X651" s="37"/>
    </row>
    <row r="652" spans="1:24" ht="25.5">
      <c r="A652" s="39"/>
      <c r="B652" s="40"/>
      <c r="C652" s="39"/>
      <c r="D652" s="41"/>
      <c r="E652" s="39" t="s">
        <v>104</v>
      </c>
      <c r="F652" s="39"/>
      <c r="G652" s="51" t="s">
        <v>105</v>
      </c>
      <c r="H652" s="42"/>
      <c r="I652" s="42"/>
      <c r="J652" s="42">
        <f>J653</f>
        <v>0</v>
      </c>
      <c r="K652" s="42"/>
      <c r="L652" s="42"/>
      <c r="M652" s="42"/>
      <c r="N652" s="42"/>
      <c r="O652" s="42"/>
      <c r="P652" s="42"/>
      <c r="Q652" s="42"/>
      <c r="R652" s="35" t="e">
        <f t="shared" si="140"/>
        <v>#DIV/0!</v>
      </c>
      <c r="S652" s="42"/>
      <c r="T652" s="47"/>
      <c r="U652" s="35"/>
      <c r="V652" s="61"/>
      <c r="W652" s="37"/>
      <c r="X652" s="37"/>
    </row>
    <row r="653" spans="1:24" ht="12.75">
      <c r="A653" s="39"/>
      <c r="B653" s="40"/>
      <c r="C653" s="39"/>
      <c r="D653" s="41"/>
      <c r="E653" s="39"/>
      <c r="F653" s="39">
        <v>421</v>
      </c>
      <c r="G653" s="39" t="s">
        <v>152</v>
      </c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35" t="e">
        <f t="shared" si="140"/>
        <v>#DIV/0!</v>
      </c>
      <c r="S653" s="42"/>
      <c r="T653" s="47"/>
      <c r="U653" s="35"/>
      <c r="V653" s="61"/>
      <c r="W653" s="37"/>
      <c r="X653" s="37"/>
    </row>
    <row r="654" spans="1:24" ht="25.5">
      <c r="A654" s="39"/>
      <c r="B654" s="40"/>
      <c r="C654" s="39"/>
      <c r="D654" s="41"/>
      <c r="E654" s="39" t="s">
        <v>106</v>
      </c>
      <c r="F654" s="39"/>
      <c r="G654" s="39" t="s">
        <v>216</v>
      </c>
      <c r="H654" s="42">
        <f>H655+H656</f>
        <v>0</v>
      </c>
      <c r="I654" s="42">
        <f>I655+I656</f>
        <v>0</v>
      </c>
      <c r="J654" s="42">
        <f>J655+J656</f>
        <v>0</v>
      </c>
      <c r="K654" s="42"/>
      <c r="L654" s="42"/>
      <c r="M654" s="42"/>
      <c r="N654" s="42">
        <f>N655+N656</f>
        <v>0</v>
      </c>
      <c r="O654" s="42"/>
      <c r="P654" s="42"/>
      <c r="Q654" s="42"/>
      <c r="R654" s="35" t="e">
        <f t="shared" si="140"/>
        <v>#DIV/0!</v>
      </c>
      <c r="S654" s="42"/>
      <c r="T654" s="47"/>
      <c r="U654" s="35"/>
      <c r="V654" s="61"/>
      <c r="W654" s="37"/>
      <c r="X654" s="37"/>
    </row>
    <row r="655" spans="1:24" ht="12.75">
      <c r="A655" s="39"/>
      <c r="B655" s="40"/>
      <c r="C655" s="39"/>
      <c r="D655" s="41"/>
      <c r="E655" s="39"/>
      <c r="F655" s="39">
        <v>149</v>
      </c>
      <c r="G655" s="39" t="s">
        <v>43</v>
      </c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35" t="e">
        <f t="shared" si="140"/>
        <v>#DIV/0!</v>
      </c>
      <c r="S655" s="42"/>
      <c r="T655" s="47"/>
      <c r="U655" s="35"/>
      <c r="V655" s="61"/>
      <c r="W655" s="37"/>
      <c r="X655" s="37"/>
    </row>
    <row r="656" spans="1:24" ht="12.75">
      <c r="A656" s="39"/>
      <c r="B656" s="40"/>
      <c r="C656" s="39"/>
      <c r="D656" s="41"/>
      <c r="E656" s="39"/>
      <c r="F656" s="39">
        <v>421</v>
      </c>
      <c r="G656" s="39" t="s">
        <v>152</v>
      </c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35" t="e">
        <f t="shared" si="140"/>
        <v>#DIV/0!</v>
      </c>
      <c r="S656" s="42"/>
      <c r="T656" s="47"/>
      <c r="U656" s="35"/>
      <c r="V656" s="61"/>
      <c r="W656" s="37"/>
      <c r="X656" s="37"/>
    </row>
    <row r="657" spans="1:24" ht="51">
      <c r="A657" s="39">
        <v>10</v>
      </c>
      <c r="B657" s="40"/>
      <c r="C657" s="39"/>
      <c r="D657" s="41"/>
      <c r="E657" s="39"/>
      <c r="F657" s="39"/>
      <c r="G657" s="34" t="s">
        <v>273</v>
      </c>
      <c r="H657" s="42" t="e">
        <f>H658+H692</f>
        <v>#REF!</v>
      </c>
      <c r="I657" s="42">
        <f>I658+I692+I708</f>
        <v>20937.125</v>
      </c>
      <c r="J657" s="42">
        <f>J658+J692+J708</f>
        <v>47495.288199999995</v>
      </c>
      <c r="K657" s="42"/>
      <c r="L657" s="42"/>
      <c r="M657" s="42"/>
      <c r="N657" s="42">
        <f>N658+N692+N708</f>
        <v>54479.788984</v>
      </c>
      <c r="O657" s="42"/>
      <c r="P657" s="42"/>
      <c r="Q657" s="42">
        <f>Q658+Q692+Q708</f>
        <v>56686.62629288</v>
      </c>
      <c r="R657" s="35">
        <f t="shared" si="140"/>
        <v>104.05074496439059</v>
      </c>
      <c r="S657" s="42"/>
      <c r="T657" s="42">
        <f>T658+T692</f>
        <v>53808.815916310414</v>
      </c>
      <c r="U657" s="42">
        <f>U658+U692</f>
        <v>56256.06070961524</v>
      </c>
      <c r="V657" s="61"/>
      <c r="W657" s="37">
        <f aca="true" t="shared" si="141" ref="W657:W669">J657/I657*100</f>
        <v>226.8472304578589</v>
      </c>
      <c r="X657" s="37">
        <f aca="true" t="shared" si="142" ref="X657:X669">N657/J657*100</f>
        <v>114.70567091747851</v>
      </c>
    </row>
    <row r="658" spans="1:24" ht="25.5">
      <c r="A658" s="39"/>
      <c r="B658" s="40" t="s">
        <v>28</v>
      </c>
      <c r="C658" s="39"/>
      <c r="D658" s="41"/>
      <c r="E658" s="39"/>
      <c r="F658" s="39"/>
      <c r="G658" s="45" t="s">
        <v>274</v>
      </c>
      <c r="H658" s="42" t="e">
        <f>H659+H686</f>
        <v>#REF!</v>
      </c>
      <c r="I658" s="42">
        <f>I659+I670</f>
        <v>7155.101000000001</v>
      </c>
      <c r="J658" s="42">
        <f>SUM(J659+J670)</f>
        <v>31633.0732</v>
      </c>
      <c r="K658" s="42"/>
      <c r="L658" s="42"/>
      <c r="M658" s="42"/>
      <c r="N658" s="42">
        <f>N659+N670</f>
        <v>37806.752984</v>
      </c>
      <c r="O658" s="42"/>
      <c r="P658" s="42"/>
      <c r="Q658" s="42">
        <f>Q659+Q670</f>
        <v>34978.47029288</v>
      </c>
      <c r="R658" s="35">
        <f t="shared" si="140"/>
        <v>92.51910712269594</v>
      </c>
      <c r="S658" s="42"/>
      <c r="T658" s="42">
        <f>T659+T670</f>
        <v>36334.17031631041</v>
      </c>
      <c r="U658" s="42">
        <f>U659+U670</f>
        <v>38554.32634161524</v>
      </c>
      <c r="V658" s="61"/>
      <c r="W658" s="37">
        <f t="shared" si="141"/>
        <v>442.1051946017253</v>
      </c>
      <c r="X658" s="37">
        <f t="shared" si="142"/>
        <v>119.51653494103127</v>
      </c>
    </row>
    <row r="659" spans="1:24" ht="25.5">
      <c r="A659" s="39"/>
      <c r="B659" s="40"/>
      <c r="C659" s="39">
        <v>462</v>
      </c>
      <c r="D659" s="41"/>
      <c r="E659" s="39"/>
      <c r="F659" s="39"/>
      <c r="G659" s="39" t="s">
        <v>275</v>
      </c>
      <c r="H659" s="42" t="e">
        <f>H660+H682</f>
        <v>#REF!</v>
      </c>
      <c r="I659" s="42">
        <f>I660</f>
        <v>5667.101000000001</v>
      </c>
      <c r="J659" s="42">
        <f>J660</f>
        <v>5801.5382</v>
      </c>
      <c r="K659" s="42"/>
      <c r="L659" s="42"/>
      <c r="M659" s="42"/>
      <c r="N659" s="42">
        <f>N660</f>
        <v>7507.596984000001</v>
      </c>
      <c r="O659" s="42"/>
      <c r="P659" s="42"/>
      <c r="Q659" s="42">
        <f>Q660</f>
        <v>7642.80429288</v>
      </c>
      <c r="R659" s="35">
        <f t="shared" si="140"/>
        <v>101.80093989019588</v>
      </c>
      <c r="S659" s="42"/>
      <c r="T659" s="42">
        <f>T660</f>
        <v>7896.143516310401</v>
      </c>
      <c r="U659" s="42">
        <f>U660</f>
        <v>8169.749877615232</v>
      </c>
      <c r="V659" s="61"/>
      <c r="W659" s="37">
        <f t="shared" si="141"/>
        <v>102.37223935130146</v>
      </c>
      <c r="X659" s="37">
        <f t="shared" si="142"/>
        <v>129.40700767944614</v>
      </c>
    </row>
    <row r="660" spans="1:24" ht="38.25">
      <c r="A660" s="39"/>
      <c r="B660" s="40"/>
      <c r="C660" s="39"/>
      <c r="D660" s="41">
        <v>1</v>
      </c>
      <c r="E660" s="39"/>
      <c r="F660" s="39"/>
      <c r="G660" s="45" t="s">
        <v>276</v>
      </c>
      <c r="H660" s="42" t="e">
        <f>#REF!+#REF!</f>
        <v>#REF!</v>
      </c>
      <c r="I660" s="42">
        <f>SUM(I661:I669)</f>
        <v>5667.101000000001</v>
      </c>
      <c r="J660" s="42">
        <f>SUM(J661:J669)</f>
        <v>5801.5382</v>
      </c>
      <c r="K660" s="42"/>
      <c r="L660" s="42">
        <v>6250</v>
      </c>
      <c r="M660" s="42">
        <v>6404</v>
      </c>
      <c r="N660" s="42">
        <f>SUM(N661:N669)</f>
        <v>7507.596984000001</v>
      </c>
      <c r="O660" s="42"/>
      <c r="P660" s="42"/>
      <c r="Q660" s="42">
        <f>SUM(Q661:Q669)</f>
        <v>7642.80429288</v>
      </c>
      <c r="R660" s="35">
        <f t="shared" si="140"/>
        <v>101.80093989019588</v>
      </c>
      <c r="S660" s="42"/>
      <c r="T660" s="42">
        <f>SUM(T661:T669)</f>
        <v>7896.143516310401</v>
      </c>
      <c r="U660" s="42">
        <f>SUM(U661:U669)</f>
        <v>8169.749877615232</v>
      </c>
      <c r="V660" s="72" t="s">
        <v>268</v>
      </c>
      <c r="W660" s="37">
        <f t="shared" si="141"/>
        <v>102.37223935130146</v>
      </c>
      <c r="X660" s="37">
        <f t="shared" si="142"/>
        <v>129.40700767944614</v>
      </c>
    </row>
    <row r="661" spans="1:24" ht="12.75">
      <c r="A661" s="39"/>
      <c r="B661" s="40"/>
      <c r="C661" s="39"/>
      <c r="D661" s="41"/>
      <c r="E661" s="39"/>
      <c r="F661" s="39">
        <v>111</v>
      </c>
      <c r="G661" s="39" t="s">
        <v>33</v>
      </c>
      <c r="H661" s="42">
        <v>2579</v>
      </c>
      <c r="I661" s="42">
        <v>2959</v>
      </c>
      <c r="J661" s="42">
        <v>3073</v>
      </c>
      <c r="K661" s="42"/>
      <c r="L661" s="42"/>
      <c r="M661" s="42"/>
      <c r="N661" s="42">
        <v>3536</v>
      </c>
      <c r="O661" s="42">
        <v>3536</v>
      </c>
      <c r="P661" s="42"/>
      <c r="Q661" s="42">
        <v>3536</v>
      </c>
      <c r="R661" s="35">
        <f t="shared" si="140"/>
        <v>100</v>
      </c>
      <c r="S661" s="42"/>
      <c r="T661" s="42">
        <v>3536</v>
      </c>
      <c r="U661" s="42">
        <v>3536</v>
      </c>
      <c r="V661" s="46"/>
      <c r="W661" s="37">
        <f t="shared" si="141"/>
        <v>103.8526529232849</v>
      </c>
      <c r="X661" s="37">
        <f t="shared" si="142"/>
        <v>115.06671005532054</v>
      </c>
    </row>
    <row r="662" spans="1:24" ht="12.75">
      <c r="A662" s="39"/>
      <c r="B662" s="40"/>
      <c r="C662" s="39"/>
      <c r="D662" s="41"/>
      <c r="E662" s="39"/>
      <c r="F662" s="39">
        <v>113</v>
      </c>
      <c r="G662" s="39" t="s">
        <v>35</v>
      </c>
      <c r="H662" s="42">
        <v>429</v>
      </c>
      <c r="I662" s="42">
        <v>548</v>
      </c>
      <c r="J662" s="42">
        <v>579</v>
      </c>
      <c r="K662" s="42"/>
      <c r="L662" s="42"/>
      <c r="M662" s="42"/>
      <c r="N662" s="42">
        <v>590</v>
      </c>
      <c r="O662" s="42">
        <v>590</v>
      </c>
      <c r="P662" s="42"/>
      <c r="Q662" s="42">
        <v>590</v>
      </c>
      <c r="R662" s="35">
        <f t="shared" si="140"/>
        <v>100</v>
      </c>
      <c r="S662" s="42"/>
      <c r="T662" s="42">
        <v>590</v>
      </c>
      <c r="U662" s="42">
        <v>590</v>
      </c>
      <c r="V662" s="61"/>
      <c r="W662" s="37">
        <f t="shared" si="141"/>
        <v>105.65693430656935</v>
      </c>
      <c r="X662" s="37">
        <f t="shared" si="142"/>
        <v>101.89982728842833</v>
      </c>
    </row>
    <row r="663" spans="1:24" ht="12.75">
      <c r="A663" s="39"/>
      <c r="B663" s="40"/>
      <c r="C663" s="39"/>
      <c r="D663" s="41"/>
      <c r="E663" s="39"/>
      <c r="F663" s="39">
        <v>121</v>
      </c>
      <c r="G663" s="39" t="s">
        <v>36</v>
      </c>
      <c r="H663" s="42">
        <v>162</v>
      </c>
      <c r="I663" s="42">
        <f>(I661-(I661*0.1))*0.06</f>
        <v>159.786</v>
      </c>
      <c r="J663" s="42">
        <f>(J661-(J661*0.1))*0.06</f>
        <v>165.94199999999998</v>
      </c>
      <c r="K663" s="42"/>
      <c r="L663" s="42"/>
      <c r="M663" s="42"/>
      <c r="N663" s="42">
        <f>(N661-(N661*0.1))*0.06</f>
        <v>190.944</v>
      </c>
      <c r="O663" s="42"/>
      <c r="P663" s="42"/>
      <c r="Q663" s="42">
        <f>(Q661-(Q661*0.1))*0.06</f>
        <v>190.944</v>
      </c>
      <c r="R663" s="35">
        <f t="shared" si="140"/>
        <v>100</v>
      </c>
      <c r="S663" s="42"/>
      <c r="T663" s="42">
        <f>(T661-(T661*0.1))*0.06</f>
        <v>190.944</v>
      </c>
      <c r="U663" s="42">
        <f>(U661-(U661*0.1))*0.06</f>
        <v>190.944</v>
      </c>
      <c r="V663" s="61"/>
      <c r="W663" s="37">
        <f t="shared" si="141"/>
        <v>103.85265292328486</v>
      </c>
      <c r="X663" s="37">
        <f t="shared" si="142"/>
        <v>115.06671005532054</v>
      </c>
    </row>
    <row r="664" spans="1:24" ht="25.5">
      <c r="A664" s="39"/>
      <c r="B664" s="40"/>
      <c r="C664" s="39"/>
      <c r="D664" s="41"/>
      <c r="E664" s="39"/>
      <c r="F664" s="39">
        <v>122</v>
      </c>
      <c r="G664" s="39" t="s">
        <v>37</v>
      </c>
      <c r="H664" s="42">
        <v>93</v>
      </c>
      <c r="I664" s="42">
        <f>(I661-(I661*0.1))*0.05</f>
        <v>133.155</v>
      </c>
      <c r="J664" s="42">
        <f>(J661-(J661*0.1))*0.05</f>
        <v>138.285</v>
      </c>
      <c r="K664" s="42"/>
      <c r="L664" s="42"/>
      <c r="M664" s="42"/>
      <c r="N664" s="42">
        <f>(N661-(N661*0.1))*0.05</f>
        <v>159.12</v>
      </c>
      <c r="O664" s="42"/>
      <c r="P664" s="42"/>
      <c r="Q664" s="42">
        <f>(Q661-(Q661*0.1))*0.05</f>
        <v>159.12</v>
      </c>
      <c r="R664" s="35">
        <f t="shared" si="140"/>
        <v>100</v>
      </c>
      <c r="S664" s="42"/>
      <c r="T664" s="42">
        <f>(T661-(T661*0.1))*0.05</f>
        <v>159.12</v>
      </c>
      <c r="U664" s="42">
        <f>(U661-(U661*0.1))*0.05</f>
        <v>159.12</v>
      </c>
      <c r="V664" s="61"/>
      <c r="W664" s="37">
        <f t="shared" si="141"/>
        <v>103.8526529232849</v>
      </c>
      <c r="X664" s="37">
        <f t="shared" si="142"/>
        <v>115.06671005532054</v>
      </c>
    </row>
    <row r="665" spans="1:24" ht="38.25">
      <c r="A665" s="39"/>
      <c r="B665" s="40"/>
      <c r="C665" s="39"/>
      <c r="D665" s="41"/>
      <c r="E665" s="39"/>
      <c r="F665" s="39">
        <v>125</v>
      </c>
      <c r="G665" s="39" t="s">
        <v>38</v>
      </c>
      <c r="H665" s="42">
        <v>7</v>
      </c>
      <c r="I665" s="42">
        <v>7</v>
      </c>
      <c r="J665" s="42"/>
      <c r="K665" s="42"/>
      <c r="L665" s="42"/>
      <c r="M665" s="42"/>
      <c r="N665" s="42">
        <v>9</v>
      </c>
      <c r="O665" s="42"/>
      <c r="P665" s="42"/>
      <c r="Q665" s="42">
        <f>N665+(N665*0.07)</f>
        <v>9.63</v>
      </c>
      <c r="R665" s="35">
        <f t="shared" si="140"/>
        <v>107</v>
      </c>
      <c r="S665" s="42"/>
      <c r="T665" s="47">
        <f>Q665*1.08</f>
        <v>10.400400000000001</v>
      </c>
      <c r="U665" s="47">
        <f>T665*1.08</f>
        <v>11.232432000000003</v>
      </c>
      <c r="V665" s="61"/>
      <c r="W665" s="37">
        <f t="shared" si="141"/>
        <v>0</v>
      </c>
      <c r="X665" s="37" t="e">
        <f t="shared" si="142"/>
        <v>#DIV/0!</v>
      </c>
    </row>
    <row r="666" spans="1:24" ht="12.75">
      <c r="A666" s="39"/>
      <c r="B666" s="40"/>
      <c r="C666" s="39"/>
      <c r="D666" s="41"/>
      <c r="E666" s="39"/>
      <c r="F666" s="39">
        <v>139</v>
      </c>
      <c r="G666" s="39" t="s">
        <v>39</v>
      </c>
      <c r="H666" s="42">
        <v>961</v>
      </c>
      <c r="I666" s="42">
        <v>730</v>
      </c>
      <c r="J666" s="42">
        <v>508</v>
      </c>
      <c r="K666" s="42"/>
      <c r="L666" s="42"/>
      <c r="M666" s="42"/>
      <c r="N666" s="42">
        <v>886</v>
      </c>
      <c r="O666" s="42"/>
      <c r="P666" s="42"/>
      <c r="Q666" s="42">
        <f>N666+(N666*0.07)-77</f>
        <v>871.02</v>
      </c>
      <c r="R666" s="35">
        <f t="shared" si="140"/>
        <v>98.30925507900677</v>
      </c>
      <c r="S666" s="42"/>
      <c r="T666" s="47">
        <f>Q666*1.08</f>
        <v>940.7016000000001</v>
      </c>
      <c r="U666" s="47">
        <f>T666*1.08</f>
        <v>1015.9577280000002</v>
      </c>
      <c r="V666" s="46"/>
      <c r="W666" s="37">
        <f t="shared" si="141"/>
        <v>69.58904109589041</v>
      </c>
      <c r="X666" s="37">
        <f t="shared" si="142"/>
        <v>174.40944881889763</v>
      </c>
    </row>
    <row r="667" spans="1:24" ht="12.75">
      <c r="A667" s="39"/>
      <c r="B667" s="40"/>
      <c r="C667" s="39"/>
      <c r="D667" s="41"/>
      <c r="E667" s="39"/>
      <c r="F667" s="39">
        <v>142</v>
      </c>
      <c r="G667" s="39" t="s">
        <v>40</v>
      </c>
      <c r="H667" s="42">
        <v>62</v>
      </c>
      <c r="I667" s="42">
        <v>162</v>
      </c>
      <c r="J667" s="42">
        <v>258</v>
      </c>
      <c r="K667" s="42"/>
      <c r="L667" s="42"/>
      <c r="M667" s="42"/>
      <c r="N667" s="42">
        <f>J667+(J667*0.07)</f>
        <v>276.06</v>
      </c>
      <c r="O667" s="42"/>
      <c r="P667" s="42"/>
      <c r="Q667" s="42">
        <f>N667+(N667*0.07)</f>
        <v>295.3842</v>
      </c>
      <c r="R667" s="35">
        <f t="shared" si="140"/>
        <v>107</v>
      </c>
      <c r="S667" s="42"/>
      <c r="T667" s="47">
        <f>Q667*1.08</f>
        <v>319.01493600000003</v>
      </c>
      <c r="U667" s="47">
        <f>T667*1.08</f>
        <v>344.5361308800001</v>
      </c>
      <c r="V667" s="61"/>
      <c r="W667" s="37">
        <f t="shared" si="141"/>
        <v>159.25925925925927</v>
      </c>
      <c r="X667" s="37">
        <f t="shared" si="142"/>
        <v>107</v>
      </c>
    </row>
    <row r="668" spans="1:24" ht="12.75">
      <c r="A668" s="39"/>
      <c r="B668" s="40"/>
      <c r="C668" s="39"/>
      <c r="D668" s="41"/>
      <c r="E668" s="39"/>
      <c r="F668" s="39">
        <v>149</v>
      </c>
      <c r="G668" s="39" t="s">
        <v>43</v>
      </c>
      <c r="H668" s="42">
        <v>1932</v>
      </c>
      <c r="I668" s="42">
        <v>966</v>
      </c>
      <c r="J668" s="42">
        <v>1077</v>
      </c>
      <c r="K668" s="42"/>
      <c r="L668" s="42"/>
      <c r="M668" s="42"/>
      <c r="N668" s="42">
        <v>1858</v>
      </c>
      <c r="O668" s="42"/>
      <c r="P668" s="42"/>
      <c r="Q668" s="42">
        <f>N668+(N668*0.07)</f>
        <v>1988.06</v>
      </c>
      <c r="R668" s="35">
        <f t="shared" si="140"/>
        <v>107</v>
      </c>
      <c r="S668" s="42"/>
      <c r="T668" s="47">
        <f>Q668*1.08</f>
        <v>2147.1048</v>
      </c>
      <c r="U668" s="47">
        <f>T668*1.08</f>
        <v>2318.873184</v>
      </c>
      <c r="V668" s="61" t="s">
        <v>277</v>
      </c>
      <c r="W668" s="37">
        <f t="shared" si="141"/>
        <v>111.49068322981365</v>
      </c>
      <c r="X668" s="37">
        <f t="shared" si="142"/>
        <v>172.51624883936861</v>
      </c>
    </row>
    <row r="669" spans="1:24" ht="12.75">
      <c r="A669" s="39"/>
      <c r="B669" s="40"/>
      <c r="C669" s="39"/>
      <c r="D669" s="41"/>
      <c r="E669" s="39"/>
      <c r="F669" s="39">
        <v>159</v>
      </c>
      <c r="G669" s="39" t="s">
        <v>46</v>
      </c>
      <c r="H669" s="42">
        <v>2</v>
      </c>
      <c r="I669" s="42">
        <f>H669+(H669*0.08)</f>
        <v>2.16</v>
      </c>
      <c r="J669" s="42">
        <f>I669+(I669*0.07)</f>
        <v>2.3112000000000004</v>
      </c>
      <c r="K669" s="42"/>
      <c r="L669" s="42"/>
      <c r="M669" s="42"/>
      <c r="N669" s="42">
        <f>J669+(J669*0.07)</f>
        <v>2.4729840000000003</v>
      </c>
      <c r="O669" s="42"/>
      <c r="P669" s="42"/>
      <c r="Q669" s="42">
        <f>N669+(N669*0.07)</f>
        <v>2.6460928800000003</v>
      </c>
      <c r="R669" s="35">
        <f t="shared" si="140"/>
        <v>107</v>
      </c>
      <c r="S669" s="42"/>
      <c r="T669" s="47">
        <f>Q669*1.08</f>
        <v>2.8577803104000004</v>
      </c>
      <c r="U669" s="47">
        <f>T669*1.08</f>
        <v>3.0864027352320007</v>
      </c>
      <c r="V669" s="61"/>
      <c r="W669" s="37">
        <f t="shared" si="141"/>
        <v>107</v>
      </c>
      <c r="X669" s="37">
        <f t="shared" si="142"/>
        <v>107</v>
      </c>
    </row>
    <row r="670" spans="1:24" ht="25.5">
      <c r="A670" s="39"/>
      <c r="B670" s="40"/>
      <c r="C670" s="39">
        <v>473</v>
      </c>
      <c r="D670" s="41"/>
      <c r="E670" s="39"/>
      <c r="F670" s="39"/>
      <c r="G670" s="39" t="s">
        <v>278</v>
      </c>
      <c r="H670" s="42"/>
      <c r="I670" s="42">
        <f>I671+I682+I689</f>
        <v>1488</v>
      </c>
      <c r="J670" s="42">
        <f>J671+J682+J689+J691</f>
        <v>25831.535</v>
      </c>
      <c r="K670" s="42">
        <f aca="true" t="shared" si="143" ref="K670:U670">K671+K682+K689+K691</f>
        <v>0</v>
      </c>
      <c r="L670" s="42">
        <f t="shared" si="143"/>
        <v>6638</v>
      </c>
      <c r="M670" s="42">
        <f t="shared" si="143"/>
        <v>6749</v>
      </c>
      <c r="N670" s="42">
        <f t="shared" si="143"/>
        <v>30299.156</v>
      </c>
      <c r="O670" s="42">
        <f t="shared" si="143"/>
        <v>3785</v>
      </c>
      <c r="P670" s="42"/>
      <c r="Q670" s="42">
        <f t="shared" si="143"/>
        <v>27335.666000000005</v>
      </c>
      <c r="R670" s="35">
        <f t="shared" si="140"/>
        <v>90.21923250931479</v>
      </c>
      <c r="S670" s="42"/>
      <c r="T670" s="42">
        <f t="shared" si="143"/>
        <v>28438.026800000007</v>
      </c>
      <c r="U670" s="42">
        <f t="shared" si="143"/>
        <v>30384.57646400001</v>
      </c>
      <c r="V670" s="61"/>
      <c r="W670" s="37"/>
      <c r="X670" s="37"/>
    </row>
    <row r="671" spans="1:24" ht="38.25">
      <c r="A671" s="39"/>
      <c r="B671" s="40"/>
      <c r="C671" s="39"/>
      <c r="D671" s="41">
        <v>1</v>
      </c>
      <c r="E671" s="39"/>
      <c r="F671" s="39"/>
      <c r="G671" s="45" t="s">
        <v>279</v>
      </c>
      <c r="H671" s="42"/>
      <c r="I671" s="42">
        <f>SUM(I672:I681)</f>
        <v>0</v>
      </c>
      <c r="J671" s="42">
        <f>SUM(J672:J681)</f>
        <v>6111.535</v>
      </c>
      <c r="K671" s="42"/>
      <c r="L671" s="42">
        <v>6638</v>
      </c>
      <c r="M671" s="42">
        <v>6749</v>
      </c>
      <c r="N671" s="42">
        <f>SUM(N672:N681)</f>
        <v>7949.156</v>
      </c>
      <c r="O671" s="42">
        <f aca="true" t="shared" si="144" ref="O671:U671">SUM(O672:O681)</f>
        <v>3785</v>
      </c>
      <c r="P671" s="42"/>
      <c r="Q671" s="42">
        <f t="shared" si="144"/>
        <v>7721.166</v>
      </c>
      <c r="R671" s="35">
        <f t="shared" si="140"/>
        <v>97.13189676992123</v>
      </c>
      <c r="S671" s="42"/>
      <c r="T671" s="42">
        <f t="shared" si="144"/>
        <v>8010.3668</v>
      </c>
      <c r="U671" s="42">
        <f t="shared" si="144"/>
        <v>8322.703664</v>
      </c>
      <c r="V671" s="48" t="s">
        <v>268</v>
      </c>
      <c r="W671" s="37"/>
      <c r="X671" s="37"/>
    </row>
    <row r="672" spans="1:24" ht="12.75">
      <c r="A672" s="39"/>
      <c r="B672" s="40"/>
      <c r="C672" s="39"/>
      <c r="D672" s="41"/>
      <c r="E672" s="39"/>
      <c r="F672" s="39">
        <v>111</v>
      </c>
      <c r="G672" s="39" t="s">
        <v>33</v>
      </c>
      <c r="H672" s="42"/>
      <c r="I672" s="42"/>
      <c r="J672" s="42">
        <v>2965</v>
      </c>
      <c r="K672" s="42"/>
      <c r="L672" s="42"/>
      <c r="M672" s="42"/>
      <c r="N672" s="42">
        <v>3244</v>
      </c>
      <c r="O672" s="42">
        <v>3244</v>
      </c>
      <c r="P672" s="42"/>
      <c r="Q672" s="42">
        <v>3244</v>
      </c>
      <c r="R672" s="35">
        <f t="shared" si="140"/>
        <v>100</v>
      </c>
      <c r="S672" s="42"/>
      <c r="T672" s="42">
        <v>3244</v>
      </c>
      <c r="U672" s="42">
        <v>3244</v>
      </c>
      <c r="V672" s="61"/>
      <c r="W672" s="37"/>
      <c r="X672" s="37"/>
    </row>
    <row r="673" spans="1:24" ht="12.75">
      <c r="A673" s="39"/>
      <c r="B673" s="40"/>
      <c r="C673" s="39"/>
      <c r="D673" s="41"/>
      <c r="E673" s="39"/>
      <c r="F673" s="39">
        <v>113</v>
      </c>
      <c r="G673" s="39" t="s">
        <v>35</v>
      </c>
      <c r="H673" s="42"/>
      <c r="I673" s="42"/>
      <c r="J673" s="42">
        <v>540</v>
      </c>
      <c r="K673" s="42"/>
      <c r="L673" s="42"/>
      <c r="M673" s="42"/>
      <c r="N673" s="42">
        <v>541</v>
      </c>
      <c r="O673" s="42">
        <v>541</v>
      </c>
      <c r="P673" s="42"/>
      <c r="Q673" s="42">
        <v>541</v>
      </c>
      <c r="R673" s="35">
        <f t="shared" si="140"/>
        <v>100</v>
      </c>
      <c r="S673" s="42"/>
      <c r="T673" s="42">
        <v>541</v>
      </c>
      <c r="U673" s="42">
        <v>541</v>
      </c>
      <c r="V673" s="61"/>
      <c r="W673" s="37"/>
      <c r="X673" s="37"/>
    </row>
    <row r="674" spans="1:24" ht="12.75">
      <c r="A674" s="39"/>
      <c r="B674" s="40"/>
      <c r="C674" s="39"/>
      <c r="D674" s="41"/>
      <c r="E674" s="39"/>
      <c r="F674" s="39">
        <v>121</v>
      </c>
      <c r="G674" s="39" t="s">
        <v>36</v>
      </c>
      <c r="H674" s="42"/>
      <c r="I674" s="42"/>
      <c r="J674" s="42">
        <f>(J672-(J672*0.1))*0.06</f>
        <v>160.10999999999999</v>
      </c>
      <c r="K674" s="42"/>
      <c r="L674" s="42"/>
      <c r="M674" s="42"/>
      <c r="N674" s="42">
        <f>(N672-(N672*0.1))*0.06</f>
        <v>175.176</v>
      </c>
      <c r="O674" s="42"/>
      <c r="P674" s="42"/>
      <c r="Q674" s="42">
        <f>(Q672-(Q672*0.1))*0.06</f>
        <v>175.176</v>
      </c>
      <c r="R674" s="35">
        <f t="shared" si="140"/>
        <v>100</v>
      </c>
      <c r="S674" s="42"/>
      <c r="T674" s="42">
        <f>(T672-(T672*0.1))*0.06</f>
        <v>175.176</v>
      </c>
      <c r="U674" s="42">
        <f>(U672-(U672*0.1))*0.06</f>
        <v>175.176</v>
      </c>
      <c r="V674" s="61"/>
      <c r="W674" s="37"/>
      <c r="X674" s="37"/>
    </row>
    <row r="675" spans="1:24" ht="25.5">
      <c r="A675" s="39"/>
      <c r="B675" s="40"/>
      <c r="C675" s="39"/>
      <c r="D675" s="41"/>
      <c r="E675" s="39"/>
      <c r="F675" s="39">
        <v>122</v>
      </c>
      <c r="G675" s="39" t="s">
        <v>37</v>
      </c>
      <c r="H675" s="42"/>
      <c r="I675" s="42"/>
      <c r="J675" s="42">
        <f>(J672-(J672*0.1))*0.05</f>
        <v>133.425</v>
      </c>
      <c r="K675" s="42"/>
      <c r="L675" s="42"/>
      <c r="M675" s="42"/>
      <c r="N675" s="42">
        <f>(N672-(N672*0.1))*0.05</f>
        <v>145.98</v>
      </c>
      <c r="O675" s="42"/>
      <c r="P675" s="42"/>
      <c r="Q675" s="42">
        <f>(Q672-(Q672*0.1))*0.05</f>
        <v>145.98</v>
      </c>
      <c r="R675" s="35">
        <f t="shared" si="140"/>
        <v>100</v>
      </c>
      <c r="S675" s="42"/>
      <c r="T675" s="42">
        <f>(T672-(T672*0.1))*0.05</f>
        <v>145.98</v>
      </c>
      <c r="U675" s="42">
        <f>(U672-(U672*0.1))*0.05</f>
        <v>145.98</v>
      </c>
      <c r="V675" s="61"/>
      <c r="W675" s="37"/>
      <c r="X675" s="37"/>
    </row>
    <row r="676" spans="1:24" ht="38.25">
      <c r="A676" s="39"/>
      <c r="B676" s="40"/>
      <c r="C676" s="39"/>
      <c r="D676" s="41"/>
      <c r="E676" s="39"/>
      <c r="F676" s="39">
        <v>125</v>
      </c>
      <c r="G676" s="39" t="s">
        <v>38</v>
      </c>
      <c r="H676" s="42"/>
      <c r="I676" s="42"/>
      <c r="J676" s="42"/>
      <c r="K676" s="42"/>
      <c r="L676" s="42"/>
      <c r="M676" s="42"/>
      <c r="N676" s="42">
        <v>9</v>
      </c>
      <c r="O676" s="42"/>
      <c r="P676" s="42"/>
      <c r="Q676" s="42">
        <f aca="true" t="shared" si="145" ref="Q676:Q681">N676+(N676*0.07)</f>
        <v>9.63</v>
      </c>
      <c r="R676" s="35">
        <f t="shared" si="140"/>
        <v>107</v>
      </c>
      <c r="S676" s="42"/>
      <c r="T676" s="47">
        <f aca="true" t="shared" si="146" ref="T676:T681">Q676*1.08</f>
        <v>10.400400000000001</v>
      </c>
      <c r="U676" s="47">
        <f>T676*1.08</f>
        <v>11.232432000000003</v>
      </c>
      <c r="V676" s="61"/>
      <c r="W676" s="37"/>
      <c r="X676" s="37"/>
    </row>
    <row r="677" spans="1:24" ht="12.75">
      <c r="A677" s="39"/>
      <c r="B677" s="40"/>
      <c r="C677" s="39"/>
      <c r="D677" s="41"/>
      <c r="E677" s="39"/>
      <c r="F677" s="39">
        <v>139</v>
      </c>
      <c r="G677" s="39" t="s">
        <v>39</v>
      </c>
      <c r="H677" s="42"/>
      <c r="I677" s="42"/>
      <c r="J677" s="42">
        <v>110</v>
      </c>
      <c r="K677" s="42"/>
      <c r="L677" s="42"/>
      <c r="M677" s="42"/>
      <c r="N677" s="42">
        <v>1005</v>
      </c>
      <c r="O677" s="42"/>
      <c r="P677" s="42"/>
      <c r="Q677" s="42">
        <f>N677+(N677*0.07)-350</f>
        <v>725.3499999999999</v>
      </c>
      <c r="R677" s="35">
        <f t="shared" si="140"/>
        <v>72.17412935323382</v>
      </c>
      <c r="S677" s="42"/>
      <c r="T677" s="47">
        <f t="shared" si="146"/>
        <v>783.3779999999999</v>
      </c>
      <c r="U677" s="47">
        <f>T677*1.08</f>
        <v>846.04824</v>
      </c>
      <c r="V677" s="61"/>
      <c r="W677" s="37"/>
      <c r="X677" s="37"/>
    </row>
    <row r="678" spans="1:24" ht="12.75">
      <c r="A678" s="39"/>
      <c r="B678" s="40"/>
      <c r="C678" s="39"/>
      <c r="D678" s="41"/>
      <c r="E678" s="39"/>
      <c r="F678" s="39">
        <v>142</v>
      </c>
      <c r="G678" s="39" t="s">
        <v>40</v>
      </c>
      <c r="H678" s="42"/>
      <c r="I678" s="42"/>
      <c r="J678" s="42">
        <v>221</v>
      </c>
      <c r="K678" s="42"/>
      <c r="L678" s="42"/>
      <c r="M678" s="42"/>
      <c r="N678" s="42">
        <v>251</v>
      </c>
      <c r="O678" s="42"/>
      <c r="P678" s="42"/>
      <c r="Q678" s="42">
        <f t="shared" si="145"/>
        <v>268.57</v>
      </c>
      <c r="R678" s="35">
        <f t="shared" si="140"/>
        <v>107</v>
      </c>
      <c r="S678" s="42"/>
      <c r="T678" s="47">
        <f t="shared" si="146"/>
        <v>290.0556</v>
      </c>
      <c r="U678" s="47">
        <f>T678*1.08</f>
        <v>313.26004800000004</v>
      </c>
      <c r="V678" s="61"/>
      <c r="W678" s="37"/>
      <c r="X678" s="37"/>
    </row>
    <row r="679" spans="1:24" ht="12.75">
      <c r="A679" s="39"/>
      <c r="B679" s="40"/>
      <c r="C679" s="39"/>
      <c r="D679" s="41"/>
      <c r="E679" s="39"/>
      <c r="F679" s="39">
        <v>147</v>
      </c>
      <c r="G679" s="39" t="s">
        <v>42</v>
      </c>
      <c r="H679" s="42"/>
      <c r="I679" s="42"/>
      <c r="J679" s="42">
        <v>840</v>
      </c>
      <c r="K679" s="42"/>
      <c r="L679" s="42"/>
      <c r="M679" s="42"/>
      <c r="N679" s="42">
        <v>900</v>
      </c>
      <c r="O679" s="42"/>
      <c r="P679" s="42"/>
      <c r="Q679" s="42">
        <v>900</v>
      </c>
      <c r="R679" s="35">
        <f t="shared" si="140"/>
        <v>100</v>
      </c>
      <c r="S679" s="42"/>
      <c r="T679" s="47">
        <f t="shared" si="146"/>
        <v>972.0000000000001</v>
      </c>
      <c r="U679" s="47">
        <f>T679*1.08</f>
        <v>1049.7600000000002</v>
      </c>
      <c r="V679" s="61"/>
      <c r="W679" s="37"/>
      <c r="X679" s="37"/>
    </row>
    <row r="680" spans="1:24" ht="12.75">
      <c r="A680" s="39"/>
      <c r="B680" s="40"/>
      <c r="C680" s="39"/>
      <c r="D680" s="41"/>
      <c r="E680" s="39"/>
      <c r="F680" s="39">
        <v>149</v>
      </c>
      <c r="G680" s="39" t="s">
        <v>43</v>
      </c>
      <c r="H680" s="42"/>
      <c r="I680" s="42"/>
      <c r="J680" s="42">
        <v>1117</v>
      </c>
      <c r="K680" s="42"/>
      <c r="L680" s="42"/>
      <c r="M680" s="42"/>
      <c r="N680" s="42">
        <v>1676</v>
      </c>
      <c r="O680" s="42"/>
      <c r="P680" s="42"/>
      <c r="Q680" s="42">
        <f>N680+(N680*0.07)-84</f>
        <v>1709.32</v>
      </c>
      <c r="R680" s="35">
        <f t="shared" si="140"/>
        <v>101.98806682577566</v>
      </c>
      <c r="S680" s="42"/>
      <c r="T680" s="47">
        <f t="shared" si="146"/>
        <v>1846.0656000000001</v>
      </c>
      <c r="U680" s="47">
        <f>T680*1.08</f>
        <v>1993.7508480000004</v>
      </c>
      <c r="V680" s="61" t="s">
        <v>280</v>
      </c>
      <c r="W680" s="37"/>
      <c r="X680" s="37"/>
    </row>
    <row r="681" spans="1:24" ht="12.75">
      <c r="A681" s="39"/>
      <c r="B681" s="40"/>
      <c r="C681" s="39"/>
      <c r="D681" s="41"/>
      <c r="E681" s="39"/>
      <c r="F681" s="39">
        <v>159</v>
      </c>
      <c r="G681" s="39" t="s">
        <v>46</v>
      </c>
      <c r="H681" s="42"/>
      <c r="I681" s="42"/>
      <c r="J681" s="42">
        <v>25</v>
      </c>
      <c r="K681" s="42"/>
      <c r="L681" s="42"/>
      <c r="M681" s="42"/>
      <c r="N681" s="42">
        <v>2</v>
      </c>
      <c r="O681" s="42"/>
      <c r="P681" s="42"/>
      <c r="Q681" s="42">
        <f t="shared" si="145"/>
        <v>2.14</v>
      </c>
      <c r="R681" s="35">
        <f t="shared" si="140"/>
        <v>107</v>
      </c>
      <c r="S681" s="42"/>
      <c r="T681" s="47">
        <f t="shared" si="146"/>
        <v>2.3112000000000004</v>
      </c>
      <c r="U681" s="47">
        <f>T681*1.08</f>
        <v>2.4960960000000005</v>
      </c>
      <c r="V681" s="61"/>
      <c r="W681" s="37"/>
      <c r="X681" s="37"/>
    </row>
    <row r="682" spans="1:24" ht="25.5">
      <c r="A682" s="39"/>
      <c r="B682" s="40"/>
      <c r="C682" s="39"/>
      <c r="D682" s="41">
        <v>5</v>
      </c>
      <c r="E682" s="39" t="s">
        <v>67</v>
      </c>
      <c r="F682" s="39"/>
      <c r="G682" s="45" t="s">
        <v>281</v>
      </c>
      <c r="H682" s="42">
        <f>H683</f>
        <v>1319</v>
      </c>
      <c r="I682" s="42">
        <f>I683-154</f>
        <v>1488</v>
      </c>
      <c r="J682" s="42">
        <f>J683</f>
        <v>2720</v>
      </c>
      <c r="K682" s="42"/>
      <c r="L682" s="42"/>
      <c r="M682" s="42"/>
      <c r="N682" s="42">
        <f>N683</f>
        <v>2160</v>
      </c>
      <c r="O682" s="42"/>
      <c r="P682" s="42"/>
      <c r="Q682" s="42">
        <f>Q683+500</f>
        <v>2811.2000000000003</v>
      </c>
      <c r="R682" s="35">
        <f t="shared" si="140"/>
        <v>130.14814814814818</v>
      </c>
      <c r="S682" s="42"/>
      <c r="T682" s="42">
        <f>T683</f>
        <v>2496.0960000000005</v>
      </c>
      <c r="U682" s="42">
        <f>U683</f>
        <v>2695.7836800000005</v>
      </c>
      <c r="V682" s="61"/>
      <c r="W682" s="37">
        <f>J682/I682*100</f>
        <v>182.79569892473117</v>
      </c>
      <c r="X682" s="37">
        <f>N682/J682*100</f>
        <v>79.41176470588235</v>
      </c>
    </row>
    <row r="683" spans="1:24" ht="12.75">
      <c r="A683" s="39"/>
      <c r="B683" s="40"/>
      <c r="C683" s="39"/>
      <c r="D683" s="41"/>
      <c r="E683" s="39"/>
      <c r="F683" s="39">
        <v>149</v>
      </c>
      <c r="G683" s="39" t="s">
        <v>43</v>
      </c>
      <c r="H683" s="42">
        <v>1319</v>
      </c>
      <c r="I683" s="42">
        <v>1642</v>
      </c>
      <c r="J683" s="42">
        <v>2720</v>
      </c>
      <c r="K683" s="42"/>
      <c r="L683" s="42"/>
      <c r="M683" s="42"/>
      <c r="N683" s="42">
        <v>2160</v>
      </c>
      <c r="O683" s="42"/>
      <c r="P683" s="42"/>
      <c r="Q683" s="42">
        <f>N683*1.07</f>
        <v>2311.2000000000003</v>
      </c>
      <c r="R683" s="35">
        <f t="shared" si="140"/>
        <v>107</v>
      </c>
      <c r="S683" s="42"/>
      <c r="T683" s="47">
        <f>Q683*1.08</f>
        <v>2496.0960000000005</v>
      </c>
      <c r="U683" s="47">
        <f>T683*1.08</f>
        <v>2695.7836800000005</v>
      </c>
      <c r="V683" s="46"/>
      <c r="W683" s="37">
        <f>J683/I683*100</f>
        <v>165.6516443361754</v>
      </c>
      <c r="X683" s="37">
        <f>N683/J683*100</f>
        <v>79.41176470588235</v>
      </c>
    </row>
    <row r="684" spans="1:24" ht="25.5">
      <c r="A684" s="39"/>
      <c r="B684" s="40"/>
      <c r="C684" s="39"/>
      <c r="D684" s="41">
        <v>4</v>
      </c>
      <c r="E684" s="39" t="s">
        <v>67</v>
      </c>
      <c r="F684" s="39"/>
      <c r="G684" s="45" t="s">
        <v>282</v>
      </c>
      <c r="H684" s="42">
        <f>H685</f>
        <v>0</v>
      </c>
      <c r="I684" s="42">
        <f>I685</f>
        <v>0</v>
      </c>
      <c r="J684" s="42">
        <f>J685</f>
        <v>0</v>
      </c>
      <c r="K684" s="42"/>
      <c r="L684" s="42"/>
      <c r="M684" s="42"/>
      <c r="N684" s="42">
        <f>N685</f>
        <v>0</v>
      </c>
      <c r="O684" s="42"/>
      <c r="P684" s="42"/>
      <c r="Q684" s="42"/>
      <c r="R684" s="35" t="e">
        <f t="shared" si="140"/>
        <v>#DIV/0!</v>
      </c>
      <c r="S684" s="42"/>
      <c r="T684" s="47"/>
      <c r="U684" s="35"/>
      <c r="V684" s="61"/>
      <c r="W684" s="37"/>
      <c r="X684" s="37"/>
    </row>
    <row r="685" spans="1:24" ht="12.75">
      <c r="A685" s="39"/>
      <c r="B685" s="40"/>
      <c r="C685" s="39"/>
      <c r="D685" s="41"/>
      <c r="E685" s="39"/>
      <c r="F685" s="39">
        <v>149</v>
      </c>
      <c r="G685" s="39" t="s">
        <v>43</v>
      </c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35" t="e">
        <f t="shared" si="140"/>
        <v>#DIV/0!</v>
      </c>
      <c r="S685" s="42"/>
      <c r="T685" s="47"/>
      <c r="U685" s="35"/>
      <c r="V685" s="61"/>
      <c r="W685" s="37"/>
      <c r="X685" s="37"/>
    </row>
    <row r="686" spans="1:24" ht="25.5">
      <c r="A686" s="39"/>
      <c r="B686" s="40"/>
      <c r="C686" s="39">
        <v>467</v>
      </c>
      <c r="D686" s="41"/>
      <c r="E686" s="39"/>
      <c r="F686" s="39"/>
      <c r="G686" s="39" t="s">
        <v>202</v>
      </c>
      <c r="H686" s="42">
        <f aca="true" t="shared" si="147" ref="H686:N687">H687</f>
        <v>0</v>
      </c>
      <c r="I686" s="42">
        <f t="shared" si="147"/>
        <v>0</v>
      </c>
      <c r="J686" s="42">
        <f t="shared" si="147"/>
        <v>0</v>
      </c>
      <c r="K686" s="42"/>
      <c r="L686" s="42"/>
      <c r="M686" s="42"/>
      <c r="N686" s="42">
        <f t="shared" si="147"/>
        <v>0</v>
      </c>
      <c r="O686" s="42"/>
      <c r="P686" s="42"/>
      <c r="Q686" s="42"/>
      <c r="R686" s="35" t="e">
        <f t="shared" si="140"/>
        <v>#DIV/0!</v>
      </c>
      <c r="S686" s="42"/>
      <c r="T686" s="47"/>
      <c r="U686" s="35"/>
      <c r="V686" s="61"/>
      <c r="W686" s="37"/>
      <c r="X686" s="37"/>
    </row>
    <row r="687" spans="1:24" ht="12.75">
      <c r="A687" s="39"/>
      <c r="B687" s="40"/>
      <c r="C687" s="39"/>
      <c r="D687" s="41">
        <v>10</v>
      </c>
      <c r="E687" s="39" t="s">
        <v>67</v>
      </c>
      <c r="F687" s="39"/>
      <c r="G687" s="39" t="s">
        <v>283</v>
      </c>
      <c r="H687" s="42">
        <f t="shared" si="147"/>
        <v>0</v>
      </c>
      <c r="I687" s="42">
        <f t="shared" si="147"/>
        <v>0</v>
      </c>
      <c r="J687" s="42">
        <f t="shared" si="147"/>
        <v>0</v>
      </c>
      <c r="K687" s="42"/>
      <c r="L687" s="42"/>
      <c r="M687" s="42"/>
      <c r="N687" s="42">
        <f t="shared" si="147"/>
        <v>0</v>
      </c>
      <c r="O687" s="42"/>
      <c r="P687" s="42"/>
      <c r="Q687" s="42"/>
      <c r="R687" s="35" t="e">
        <f t="shared" si="140"/>
        <v>#DIV/0!</v>
      </c>
      <c r="S687" s="42"/>
      <c r="T687" s="47"/>
      <c r="U687" s="35"/>
      <c r="V687" s="61"/>
      <c r="W687" s="37"/>
      <c r="X687" s="37"/>
    </row>
    <row r="688" spans="1:24" ht="12.75">
      <c r="A688" s="39"/>
      <c r="B688" s="40"/>
      <c r="C688" s="39"/>
      <c r="D688" s="41"/>
      <c r="E688" s="39"/>
      <c r="F688" s="39">
        <v>421</v>
      </c>
      <c r="G688" s="39" t="s">
        <v>152</v>
      </c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35" t="e">
        <f t="shared" si="140"/>
        <v>#DIV/0!</v>
      </c>
      <c r="S688" s="42"/>
      <c r="T688" s="47"/>
      <c r="U688" s="35"/>
      <c r="V688" s="61"/>
      <c r="W688" s="37"/>
      <c r="X688" s="37"/>
    </row>
    <row r="689" spans="1:24" ht="25.5">
      <c r="A689" s="39"/>
      <c r="B689" s="40"/>
      <c r="C689" s="39"/>
      <c r="D689" s="41">
        <v>7</v>
      </c>
      <c r="E689" s="73" t="s">
        <v>67</v>
      </c>
      <c r="F689" s="39"/>
      <c r="G689" s="51" t="s">
        <v>284</v>
      </c>
      <c r="H689" s="42"/>
      <c r="I689" s="42">
        <f>I690</f>
        <v>0</v>
      </c>
      <c r="J689" s="42">
        <f>J690</f>
        <v>17000</v>
      </c>
      <c r="K689" s="42"/>
      <c r="L689" s="42"/>
      <c r="M689" s="42"/>
      <c r="N689" s="42">
        <f>N690</f>
        <v>20190</v>
      </c>
      <c r="O689" s="42"/>
      <c r="P689" s="42"/>
      <c r="Q689" s="42">
        <f>Q690</f>
        <v>16603.300000000003</v>
      </c>
      <c r="R689" s="35">
        <f t="shared" si="140"/>
        <v>82.2352649826647</v>
      </c>
      <c r="S689" s="42"/>
      <c r="T689" s="42">
        <f>T690</f>
        <v>17931.564000000006</v>
      </c>
      <c r="U689" s="42">
        <f>U690</f>
        <v>19366.089120000008</v>
      </c>
      <c r="V689" s="61"/>
      <c r="W689" s="37"/>
      <c r="X689" s="37"/>
    </row>
    <row r="690" spans="1:24" ht="12.75">
      <c r="A690" s="39"/>
      <c r="B690" s="40"/>
      <c r="C690" s="39"/>
      <c r="D690" s="41"/>
      <c r="E690" s="39"/>
      <c r="F690" s="39">
        <v>149</v>
      </c>
      <c r="G690" s="39" t="s">
        <v>43</v>
      </c>
      <c r="H690" s="42"/>
      <c r="I690" s="42"/>
      <c r="J690" s="42">
        <v>17000</v>
      </c>
      <c r="K690" s="42"/>
      <c r="L690" s="42"/>
      <c r="M690" s="42"/>
      <c r="N690" s="42">
        <f>J690*1.07+2000</f>
        <v>20190</v>
      </c>
      <c r="O690" s="42"/>
      <c r="P690" s="42"/>
      <c r="Q690" s="42">
        <f>N690*1.07-5000</f>
        <v>16603.300000000003</v>
      </c>
      <c r="R690" s="35">
        <f t="shared" si="140"/>
        <v>82.2352649826647</v>
      </c>
      <c r="S690" s="42"/>
      <c r="T690" s="47">
        <f>Q690*1.08</f>
        <v>17931.564000000006</v>
      </c>
      <c r="U690" s="47">
        <f>T690*1.08</f>
        <v>19366.089120000008</v>
      </c>
      <c r="V690" s="61"/>
      <c r="W690" s="37"/>
      <c r="X690" s="37"/>
    </row>
    <row r="691" spans="1:24" ht="25.5">
      <c r="A691" s="39"/>
      <c r="B691" s="40"/>
      <c r="C691" s="39"/>
      <c r="D691" s="41">
        <v>10</v>
      </c>
      <c r="E691" s="39"/>
      <c r="F691" s="39"/>
      <c r="G691" s="51" t="s">
        <v>285</v>
      </c>
      <c r="H691" s="42"/>
      <c r="I691" s="42"/>
      <c r="J691" s="42"/>
      <c r="K691" s="42"/>
      <c r="L691" s="42"/>
      <c r="M691" s="42"/>
      <c r="N691" s="42"/>
      <c r="O691" s="42"/>
      <c r="P691" s="42"/>
      <c r="Q691" s="42">
        <v>200</v>
      </c>
      <c r="R691" s="35" t="e">
        <f t="shared" si="140"/>
        <v>#DIV/0!</v>
      </c>
      <c r="S691" s="42"/>
      <c r="T691" s="47"/>
      <c r="U691" s="47"/>
      <c r="V691" s="61"/>
      <c r="W691" s="37"/>
      <c r="X691" s="37"/>
    </row>
    <row r="692" spans="1:24" ht="12.75">
      <c r="A692" s="39"/>
      <c r="B692" s="40">
        <v>6</v>
      </c>
      <c r="C692" s="39"/>
      <c r="D692" s="41"/>
      <c r="E692" s="39"/>
      <c r="F692" s="39"/>
      <c r="G692" s="34" t="s">
        <v>286</v>
      </c>
      <c r="H692" s="42" t="e">
        <f aca="true" t="shared" si="148" ref="H692:N693">H693</f>
        <v>#REF!</v>
      </c>
      <c r="I692" s="42">
        <f t="shared" si="148"/>
        <v>13782.024</v>
      </c>
      <c r="J692" s="42">
        <f t="shared" si="148"/>
        <v>15220.215</v>
      </c>
      <c r="K692" s="42"/>
      <c r="L692" s="42"/>
      <c r="M692" s="42"/>
      <c r="N692" s="42">
        <f t="shared" si="148"/>
        <v>16673.036</v>
      </c>
      <c r="O692" s="42"/>
      <c r="P692" s="42"/>
      <c r="Q692" s="42">
        <f aca="true" t="shared" si="149" ref="Q692:U693">Q693</f>
        <v>17086.156</v>
      </c>
      <c r="R692" s="35">
        <f t="shared" si="140"/>
        <v>102.4777730942343</v>
      </c>
      <c r="S692" s="42"/>
      <c r="T692" s="42">
        <f t="shared" si="149"/>
        <v>17474.6456</v>
      </c>
      <c r="U692" s="42">
        <f t="shared" si="149"/>
        <v>17701.734368</v>
      </c>
      <c r="V692" s="61"/>
      <c r="W692" s="37">
        <f aca="true" t="shared" si="150" ref="W692:W704">J692/I692*100</f>
        <v>110.43526698255641</v>
      </c>
      <c r="X692" s="37">
        <f>N692/J692*100</f>
        <v>109.54533822288319</v>
      </c>
    </row>
    <row r="693" spans="1:24" ht="25.5">
      <c r="A693" s="39"/>
      <c r="B693" s="40"/>
      <c r="C693" s="39">
        <v>463</v>
      </c>
      <c r="D693" s="41"/>
      <c r="E693" s="39"/>
      <c r="F693" s="39"/>
      <c r="G693" s="39" t="s">
        <v>287</v>
      </c>
      <c r="H693" s="42" t="e">
        <f t="shared" si="148"/>
        <v>#REF!</v>
      </c>
      <c r="I693" s="42">
        <f t="shared" si="148"/>
        <v>13782.024</v>
      </c>
      <c r="J693" s="42">
        <f t="shared" si="148"/>
        <v>15220.215</v>
      </c>
      <c r="K693" s="42">
        <f>K694+K705</f>
        <v>15220</v>
      </c>
      <c r="L693" s="42"/>
      <c r="M693" s="42"/>
      <c r="N693" s="42">
        <f t="shared" si="148"/>
        <v>16673.036</v>
      </c>
      <c r="O693" s="42"/>
      <c r="P693" s="42"/>
      <c r="Q693" s="42">
        <f t="shared" si="149"/>
        <v>17086.156</v>
      </c>
      <c r="R693" s="35">
        <f t="shared" si="140"/>
        <v>102.4777730942343</v>
      </c>
      <c r="S693" s="42"/>
      <c r="T693" s="42">
        <f t="shared" si="149"/>
        <v>17474.6456</v>
      </c>
      <c r="U693" s="42">
        <f t="shared" si="149"/>
        <v>17701.734368</v>
      </c>
      <c r="V693" s="61"/>
      <c r="W693" s="37">
        <f t="shared" si="150"/>
        <v>110.43526698255641</v>
      </c>
      <c r="X693" s="37">
        <f>N693/J693*100</f>
        <v>109.54533822288319</v>
      </c>
    </row>
    <row r="694" spans="1:24" ht="38.25">
      <c r="A694" s="39"/>
      <c r="B694" s="40"/>
      <c r="C694" s="39"/>
      <c r="D694" s="41">
        <v>1</v>
      </c>
      <c r="E694" s="39"/>
      <c r="F694" s="39"/>
      <c r="G694" s="45" t="s">
        <v>288</v>
      </c>
      <c r="H694" s="42" t="e">
        <f>#REF!+#REF!+#REF!</f>
        <v>#REF!</v>
      </c>
      <c r="I694" s="42">
        <f>SUM(I695:I704)</f>
        <v>13782.024</v>
      </c>
      <c r="J694" s="42">
        <f>SUM(J695:J704)</f>
        <v>15220.215</v>
      </c>
      <c r="K694" s="42">
        <f>SUM(K695:K704)</f>
        <v>15115</v>
      </c>
      <c r="L694" s="42">
        <v>16667</v>
      </c>
      <c r="M694" s="42"/>
      <c r="N694" s="42">
        <f>SUM(N695:N704)</f>
        <v>16673.036</v>
      </c>
      <c r="O694" s="42"/>
      <c r="P694" s="42"/>
      <c r="Q694" s="42">
        <f>SUM(Q695:Q704)+300</f>
        <v>17086.156</v>
      </c>
      <c r="R694" s="35">
        <f t="shared" si="140"/>
        <v>102.4777730942343</v>
      </c>
      <c r="S694" s="42"/>
      <c r="T694" s="42">
        <f>SUM(T695:T704)+300</f>
        <v>17474.6456</v>
      </c>
      <c r="U694" s="42">
        <f>SUM(U695:U704)</f>
        <v>17701.734368</v>
      </c>
      <c r="V694" s="60" t="s">
        <v>289</v>
      </c>
      <c r="W694" s="37">
        <f t="shared" si="150"/>
        <v>110.43526698255641</v>
      </c>
      <c r="X694" s="37">
        <f>N694/J694*100</f>
        <v>109.54533822288319</v>
      </c>
    </row>
    <row r="695" spans="1:24" ht="12.75">
      <c r="A695" s="39"/>
      <c r="B695" s="40"/>
      <c r="C695" s="39"/>
      <c r="D695" s="41"/>
      <c r="E695" s="39"/>
      <c r="F695" s="39">
        <v>111</v>
      </c>
      <c r="G695" s="39" t="s">
        <v>33</v>
      </c>
      <c r="H695" s="42">
        <v>5918</v>
      </c>
      <c r="I695" s="42">
        <v>6056</v>
      </c>
      <c r="J695" s="42">
        <v>7285</v>
      </c>
      <c r="K695" s="42">
        <v>7387</v>
      </c>
      <c r="L695" s="42"/>
      <c r="M695" s="42"/>
      <c r="N695" s="42">
        <v>8364</v>
      </c>
      <c r="O695" s="42">
        <v>8364</v>
      </c>
      <c r="P695" s="42"/>
      <c r="Q695" s="42">
        <v>8364</v>
      </c>
      <c r="R695" s="35">
        <f t="shared" si="140"/>
        <v>100</v>
      </c>
      <c r="S695" s="42"/>
      <c r="T695" s="42">
        <v>8364</v>
      </c>
      <c r="U695" s="42">
        <v>8364</v>
      </c>
      <c r="V695" s="46"/>
      <c r="W695" s="37">
        <f t="shared" si="150"/>
        <v>120.29392338177014</v>
      </c>
      <c r="X695" s="37">
        <f>N695/J695*100</f>
        <v>114.81125600549073</v>
      </c>
    </row>
    <row r="696" spans="1:24" ht="12.75">
      <c r="A696" s="39"/>
      <c r="B696" s="40"/>
      <c r="C696" s="39"/>
      <c r="D696" s="41"/>
      <c r="E696" s="39"/>
      <c r="F696" s="39">
        <v>112</v>
      </c>
      <c r="G696" s="39"/>
      <c r="H696" s="42"/>
      <c r="I696" s="42"/>
      <c r="J696" s="42"/>
      <c r="K696" s="42">
        <v>668</v>
      </c>
      <c r="L696" s="42"/>
      <c r="M696" s="42"/>
      <c r="N696" s="42"/>
      <c r="O696" s="42"/>
      <c r="P696" s="42"/>
      <c r="Q696" s="42"/>
      <c r="R696" s="35" t="e">
        <f t="shared" si="140"/>
        <v>#DIV/0!</v>
      </c>
      <c r="S696" s="42"/>
      <c r="T696" s="42"/>
      <c r="U696" s="35"/>
      <c r="V696" s="46"/>
      <c r="W696" s="37"/>
      <c r="X696" s="37"/>
    </row>
    <row r="697" spans="1:24" ht="12.75">
      <c r="A697" s="39"/>
      <c r="B697" s="40"/>
      <c r="C697" s="39"/>
      <c r="D697" s="41"/>
      <c r="E697" s="39"/>
      <c r="F697" s="39">
        <v>113</v>
      </c>
      <c r="G697" s="39" t="s">
        <v>35</v>
      </c>
      <c r="H697" s="42">
        <v>987</v>
      </c>
      <c r="I697" s="42">
        <v>1122</v>
      </c>
      <c r="J697" s="42">
        <v>1370</v>
      </c>
      <c r="K697" s="42">
        <v>1395</v>
      </c>
      <c r="L697" s="42"/>
      <c r="M697" s="42"/>
      <c r="N697" s="42">
        <v>1394</v>
      </c>
      <c r="O697" s="42"/>
      <c r="P697" s="42"/>
      <c r="Q697" s="42">
        <f>N697</f>
        <v>1394</v>
      </c>
      <c r="R697" s="35">
        <f t="shared" si="140"/>
        <v>100</v>
      </c>
      <c r="S697" s="42"/>
      <c r="T697" s="42">
        <f>Q697</f>
        <v>1394</v>
      </c>
      <c r="U697" s="42">
        <f>T697</f>
        <v>1394</v>
      </c>
      <c r="V697" s="61"/>
      <c r="W697" s="37">
        <f t="shared" si="150"/>
        <v>122.10338680926915</v>
      </c>
      <c r="X697" s="37">
        <f aca="true" t="shared" si="151" ref="X697:X704">N697/J697*100</f>
        <v>101.75182481751825</v>
      </c>
    </row>
    <row r="698" spans="1:24" ht="12.75">
      <c r="A698" s="39"/>
      <c r="B698" s="40"/>
      <c r="C698" s="39"/>
      <c r="D698" s="41"/>
      <c r="E698" s="39"/>
      <c r="F698" s="39">
        <v>121</v>
      </c>
      <c r="G698" s="39" t="s">
        <v>36</v>
      </c>
      <c r="H698" s="42">
        <v>373</v>
      </c>
      <c r="I698" s="42">
        <f>(I695-(I695*0.1))*0.06</f>
        <v>327.02399999999994</v>
      </c>
      <c r="J698" s="42">
        <f>(J695-(J695*0.1))*0.06</f>
        <v>393.39</v>
      </c>
      <c r="K698" s="42">
        <v>427</v>
      </c>
      <c r="L698" s="42"/>
      <c r="M698" s="42"/>
      <c r="N698" s="42">
        <f>(N695-(N695*0.1))*0.06</f>
        <v>451.656</v>
      </c>
      <c r="O698" s="42"/>
      <c r="P698" s="42"/>
      <c r="Q698" s="42">
        <f>(Q695-(Q695*0.1))*0.06</f>
        <v>451.656</v>
      </c>
      <c r="R698" s="35">
        <f t="shared" si="140"/>
        <v>100</v>
      </c>
      <c r="S698" s="42"/>
      <c r="T698" s="42">
        <f>(T695-(T695*0.1))*0.06</f>
        <v>451.656</v>
      </c>
      <c r="U698" s="42">
        <f>(U695-(U695*0.1))*0.06</f>
        <v>451.656</v>
      </c>
      <c r="V698" s="61"/>
      <c r="W698" s="37">
        <f t="shared" si="150"/>
        <v>120.29392338177016</v>
      </c>
      <c r="X698" s="37">
        <f t="shared" si="151"/>
        <v>114.81125600549073</v>
      </c>
    </row>
    <row r="699" spans="1:24" ht="25.5">
      <c r="A699" s="39"/>
      <c r="B699" s="40"/>
      <c r="C699" s="39"/>
      <c r="D699" s="41"/>
      <c r="E699" s="39"/>
      <c r="F699" s="39">
        <v>122</v>
      </c>
      <c r="G699" s="39" t="s">
        <v>37</v>
      </c>
      <c r="H699" s="42">
        <v>214</v>
      </c>
      <c r="I699" s="42">
        <f>(I695-(I695*0.1))*0.05</f>
        <v>272.52</v>
      </c>
      <c r="J699" s="42">
        <f>(J695-(J695*0.1))*0.05</f>
        <v>327.82500000000005</v>
      </c>
      <c r="K699" s="42">
        <v>360</v>
      </c>
      <c r="L699" s="42"/>
      <c r="M699" s="42"/>
      <c r="N699" s="42">
        <f>(N695-(N695*0.1))*0.05</f>
        <v>376.38000000000005</v>
      </c>
      <c r="O699" s="42"/>
      <c r="P699" s="42"/>
      <c r="Q699" s="42">
        <f>(Q695-(Q695*0.1))*0.05</f>
        <v>376.38000000000005</v>
      </c>
      <c r="R699" s="35">
        <f t="shared" si="140"/>
        <v>100</v>
      </c>
      <c r="S699" s="42"/>
      <c r="T699" s="42">
        <f>(T695-(T695*0.1))*0.05</f>
        <v>376.38000000000005</v>
      </c>
      <c r="U699" s="42">
        <f>(U695-(U695*0.1))*0.05</f>
        <v>376.38000000000005</v>
      </c>
      <c r="V699" s="61"/>
      <c r="W699" s="37">
        <f t="shared" si="150"/>
        <v>120.29392338177016</v>
      </c>
      <c r="X699" s="37">
        <f t="shared" si="151"/>
        <v>114.81125600549073</v>
      </c>
    </row>
    <row r="700" spans="1:24" ht="38.25">
      <c r="A700" s="39"/>
      <c r="B700" s="40"/>
      <c r="C700" s="39"/>
      <c r="D700" s="41"/>
      <c r="E700" s="39"/>
      <c r="F700" s="39">
        <v>125</v>
      </c>
      <c r="G700" s="39" t="s">
        <v>38</v>
      </c>
      <c r="H700" s="42">
        <v>8</v>
      </c>
      <c r="I700" s="42">
        <v>8</v>
      </c>
      <c r="J700" s="42"/>
      <c r="K700" s="42"/>
      <c r="L700" s="42"/>
      <c r="M700" s="42"/>
      <c r="N700" s="42">
        <v>9</v>
      </c>
      <c r="O700" s="42"/>
      <c r="P700" s="42"/>
      <c r="Q700" s="42">
        <f>N700+(N700*0.07)</f>
        <v>9.63</v>
      </c>
      <c r="R700" s="35">
        <f t="shared" si="140"/>
        <v>107</v>
      </c>
      <c r="S700" s="42"/>
      <c r="T700" s="47">
        <f>Q700*1.08</f>
        <v>10.400400000000001</v>
      </c>
      <c r="U700" s="47">
        <f>T700*1.08</f>
        <v>11.232432000000003</v>
      </c>
      <c r="V700" s="61"/>
      <c r="W700" s="37">
        <f t="shared" si="150"/>
        <v>0</v>
      </c>
      <c r="X700" s="37" t="e">
        <f t="shared" si="151"/>
        <v>#DIV/0!</v>
      </c>
    </row>
    <row r="701" spans="1:24" ht="12.75">
      <c r="A701" s="39"/>
      <c r="B701" s="40"/>
      <c r="C701" s="39"/>
      <c r="D701" s="41"/>
      <c r="E701" s="39"/>
      <c r="F701" s="39">
        <v>139</v>
      </c>
      <c r="G701" s="39" t="s">
        <v>39</v>
      </c>
      <c r="H701" s="42">
        <v>2035</v>
      </c>
      <c r="I701" s="42">
        <v>2245</v>
      </c>
      <c r="J701" s="42">
        <v>1911</v>
      </c>
      <c r="K701" s="42">
        <v>1185</v>
      </c>
      <c r="L701" s="42"/>
      <c r="M701" s="42"/>
      <c r="N701" s="42">
        <v>1773</v>
      </c>
      <c r="O701" s="42"/>
      <c r="P701" s="42"/>
      <c r="Q701" s="42">
        <f>N701+(N701*0.07)</f>
        <v>1897.1100000000001</v>
      </c>
      <c r="R701" s="35">
        <f t="shared" si="140"/>
        <v>107</v>
      </c>
      <c r="S701" s="42"/>
      <c r="T701" s="47">
        <f>Q701*1.08</f>
        <v>2048.8788000000004</v>
      </c>
      <c r="U701" s="47">
        <f>T701*1.08</f>
        <v>2212.7891040000004</v>
      </c>
      <c r="V701" s="61"/>
      <c r="W701" s="37">
        <f t="shared" si="150"/>
        <v>85.12249443207128</v>
      </c>
      <c r="X701" s="37">
        <f t="shared" si="151"/>
        <v>92.77864992150707</v>
      </c>
    </row>
    <row r="702" spans="1:24" ht="12.75">
      <c r="A702" s="39"/>
      <c r="B702" s="40"/>
      <c r="C702" s="39"/>
      <c r="D702" s="41"/>
      <c r="E702" s="39"/>
      <c r="F702" s="39">
        <v>142</v>
      </c>
      <c r="G702" s="39" t="s">
        <v>40</v>
      </c>
      <c r="H702" s="42">
        <v>881</v>
      </c>
      <c r="I702" s="42">
        <v>936</v>
      </c>
      <c r="J702" s="42">
        <v>985</v>
      </c>
      <c r="K702" s="42">
        <v>985</v>
      </c>
      <c r="L702" s="42"/>
      <c r="M702" s="42"/>
      <c r="N702" s="42">
        <v>927</v>
      </c>
      <c r="O702" s="42"/>
      <c r="P702" s="42"/>
      <c r="Q702" s="42">
        <f>N702+(N702*0.07)</f>
        <v>991.89</v>
      </c>
      <c r="R702" s="35">
        <f t="shared" si="140"/>
        <v>107</v>
      </c>
      <c r="S702" s="42"/>
      <c r="T702" s="47">
        <f>Q702*1.08</f>
        <v>1071.2412000000002</v>
      </c>
      <c r="U702" s="47">
        <f>T702*1.08</f>
        <v>1156.9404960000002</v>
      </c>
      <c r="V702" s="61"/>
      <c r="W702" s="37">
        <f t="shared" si="150"/>
        <v>105.23504273504274</v>
      </c>
      <c r="X702" s="37">
        <f t="shared" si="151"/>
        <v>94.11167512690355</v>
      </c>
    </row>
    <row r="703" spans="1:24" ht="12.75">
      <c r="A703" s="39"/>
      <c r="B703" s="40"/>
      <c r="C703" s="39"/>
      <c r="D703" s="41"/>
      <c r="E703" s="39"/>
      <c r="F703" s="39">
        <v>149</v>
      </c>
      <c r="G703" s="39" t="s">
        <v>43</v>
      </c>
      <c r="H703" s="42">
        <v>2651</v>
      </c>
      <c r="I703" s="42">
        <v>2809</v>
      </c>
      <c r="J703" s="42">
        <v>2944</v>
      </c>
      <c r="K703" s="42">
        <v>2701</v>
      </c>
      <c r="L703" s="42"/>
      <c r="M703" s="42"/>
      <c r="N703" s="42">
        <v>3371</v>
      </c>
      <c r="O703" s="42"/>
      <c r="P703" s="42"/>
      <c r="Q703" s="42">
        <v>3294</v>
      </c>
      <c r="R703" s="35">
        <f t="shared" si="140"/>
        <v>97.71581133194897</v>
      </c>
      <c r="S703" s="42"/>
      <c r="T703" s="47">
        <v>3450</v>
      </c>
      <c r="U703" s="47">
        <f>T703*1.08</f>
        <v>3726.0000000000005</v>
      </c>
      <c r="V703" s="61" t="s">
        <v>290</v>
      </c>
      <c r="W703" s="37">
        <f t="shared" si="150"/>
        <v>104.80598077607691</v>
      </c>
      <c r="X703" s="37">
        <f t="shared" si="151"/>
        <v>114.50407608695652</v>
      </c>
    </row>
    <row r="704" spans="1:24" ht="12.75">
      <c r="A704" s="39"/>
      <c r="B704" s="40"/>
      <c r="C704" s="39"/>
      <c r="D704" s="41"/>
      <c r="E704" s="39"/>
      <c r="F704" s="39">
        <v>159</v>
      </c>
      <c r="G704" s="39" t="s">
        <v>46</v>
      </c>
      <c r="H704" s="42">
        <v>6</v>
      </c>
      <c r="I704" s="42">
        <f>H704+(H704*0.08)</f>
        <v>6.48</v>
      </c>
      <c r="J704" s="42">
        <v>4</v>
      </c>
      <c r="K704" s="42">
        <v>7</v>
      </c>
      <c r="L704" s="42"/>
      <c r="M704" s="42"/>
      <c r="N704" s="42">
        <v>7</v>
      </c>
      <c r="O704" s="42"/>
      <c r="P704" s="42"/>
      <c r="Q704" s="42">
        <f>N704+(N704*0.07)</f>
        <v>7.49</v>
      </c>
      <c r="R704" s="35">
        <f t="shared" si="140"/>
        <v>107</v>
      </c>
      <c r="S704" s="42"/>
      <c r="T704" s="47">
        <f>Q704*1.08</f>
        <v>8.0892</v>
      </c>
      <c r="U704" s="47">
        <f>T704*1.08</f>
        <v>8.736336</v>
      </c>
      <c r="V704" s="61"/>
      <c r="W704" s="37">
        <f t="shared" si="150"/>
        <v>61.72839506172839</v>
      </c>
      <c r="X704" s="37">
        <f t="shared" si="151"/>
        <v>175</v>
      </c>
    </row>
    <row r="705" spans="1:24" ht="25.5">
      <c r="A705" s="39"/>
      <c r="B705" s="40"/>
      <c r="C705" s="39"/>
      <c r="D705" s="41"/>
      <c r="E705" s="39"/>
      <c r="F705" s="39"/>
      <c r="G705" s="51" t="s">
        <v>47</v>
      </c>
      <c r="H705" s="42"/>
      <c r="I705" s="42"/>
      <c r="J705" s="42"/>
      <c r="K705" s="42">
        <v>105</v>
      </c>
      <c r="L705" s="42"/>
      <c r="M705" s="42"/>
      <c r="N705" s="42"/>
      <c r="O705" s="42"/>
      <c r="P705" s="42"/>
      <c r="Q705" s="42"/>
      <c r="R705" s="35" t="e">
        <f t="shared" si="140"/>
        <v>#DIV/0!</v>
      </c>
      <c r="S705" s="42"/>
      <c r="T705" s="47"/>
      <c r="U705" s="35"/>
      <c r="V705" s="61"/>
      <c r="W705" s="37"/>
      <c r="X705" s="37"/>
    </row>
    <row r="706" spans="1:24" ht="12.75">
      <c r="A706" s="39"/>
      <c r="B706" s="40"/>
      <c r="C706" s="39"/>
      <c r="D706" s="41">
        <v>4</v>
      </c>
      <c r="E706" s="39" t="s">
        <v>67</v>
      </c>
      <c r="F706" s="39"/>
      <c r="G706" s="45" t="s">
        <v>291</v>
      </c>
      <c r="H706" s="42">
        <f>H707</f>
        <v>0</v>
      </c>
      <c r="I706" s="42">
        <f>I707</f>
        <v>0</v>
      </c>
      <c r="J706" s="42">
        <f>J707</f>
        <v>0</v>
      </c>
      <c r="K706" s="42"/>
      <c r="L706" s="42"/>
      <c r="M706" s="42"/>
      <c r="N706" s="42">
        <f>N707</f>
        <v>0</v>
      </c>
      <c r="O706" s="42"/>
      <c r="P706" s="42"/>
      <c r="Q706" s="42"/>
      <c r="R706" s="35" t="e">
        <f t="shared" si="140"/>
        <v>#DIV/0!</v>
      </c>
      <c r="S706" s="42"/>
      <c r="T706" s="47"/>
      <c r="U706" s="35"/>
      <c r="V706" s="61"/>
      <c r="W706" s="37"/>
      <c r="X706" s="37"/>
    </row>
    <row r="707" spans="1:24" ht="12.75">
      <c r="A707" s="39"/>
      <c r="B707" s="40"/>
      <c r="C707" s="39"/>
      <c r="D707" s="41"/>
      <c r="E707" s="39"/>
      <c r="F707" s="39">
        <v>149</v>
      </c>
      <c r="G707" s="39" t="s">
        <v>43</v>
      </c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35" t="e">
        <f t="shared" si="140"/>
        <v>#DIV/0!</v>
      </c>
      <c r="S707" s="42"/>
      <c r="T707" s="47"/>
      <c r="U707" s="35"/>
      <c r="V707" s="61"/>
      <c r="W707" s="37"/>
      <c r="X707" s="37"/>
    </row>
    <row r="708" spans="1:24" ht="38.25">
      <c r="A708" s="39"/>
      <c r="B708" s="40">
        <v>9</v>
      </c>
      <c r="C708" s="39"/>
      <c r="D708" s="41"/>
      <c r="E708" s="39"/>
      <c r="F708" s="39"/>
      <c r="G708" s="34" t="s">
        <v>292</v>
      </c>
      <c r="H708" s="42"/>
      <c r="I708" s="42">
        <f>I709</f>
        <v>0</v>
      </c>
      <c r="J708" s="42">
        <f>J709</f>
        <v>642</v>
      </c>
      <c r="K708" s="42">
        <f aca="true" t="shared" si="152" ref="K708:N709">K709</f>
        <v>0</v>
      </c>
      <c r="L708" s="42">
        <f t="shared" si="152"/>
        <v>0</v>
      </c>
      <c r="M708" s="42">
        <f t="shared" si="152"/>
        <v>0</v>
      </c>
      <c r="N708" s="42">
        <f t="shared" si="152"/>
        <v>0</v>
      </c>
      <c r="O708" s="42"/>
      <c r="P708" s="42"/>
      <c r="Q708" s="42">
        <f>Q709</f>
        <v>4622</v>
      </c>
      <c r="R708" s="35" t="e">
        <f t="shared" si="140"/>
        <v>#DIV/0!</v>
      </c>
      <c r="S708" s="42"/>
      <c r="T708" s="47"/>
      <c r="U708" s="35"/>
      <c r="V708" s="61"/>
      <c r="W708" s="37"/>
      <c r="X708" s="37"/>
    </row>
    <row r="709" spans="1:24" ht="25.5">
      <c r="A709" s="39"/>
      <c r="B709" s="40"/>
      <c r="C709" s="39">
        <v>473</v>
      </c>
      <c r="D709" s="41"/>
      <c r="E709" s="39"/>
      <c r="F709" s="39"/>
      <c r="G709" s="39" t="s">
        <v>293</v>
      </c>
      <c r="H709" s="42"/>
      <c r="I709" s="42">
        <f>I710</f>
        <v>0</v>
      </c>
      <c r="J709" s="42">
        <f>J710</f>
        <v>642</v>
      </c>
      <c r="K709" s="42">
        <f t="shared" si="152"/>
        <v>0</v>
      </c>
      <c r="L709" s="42">
        <f t="shared" si="152"/>
        <v>0</v>
      </c>
      <c r="M709" s="42">
        <f t="shared" si="152"/>
        <v>0</v>
      </c>
      <c r="N709" s="42">
        <f t="shared" si="152"/>
        <v>0</v>
      </c>
      <c r="O709" s="42"/>
      <c r="P709" s="42"/>
      <c r="Q709" s="42">
        <f>Q710</f>
        <v>4622</v>
      </c>
      <c r="R709" s="35" t="e">
        <f t="shared" si="140"/>
        <v>#DIV/0!</v>
      </c>
      <c r="S709" s="42"/>
      <c r="T709" s="47"/>
      <c r="U709" s="35"/>
      <c r="V709" s="61"/>
      <c r="W709" s="37"/>
      <c r="X709" s="37"/>
    </row>
    <row r="710" spans="1:24" ht="25.5">
      <c r="A710" s="39"/>
      <c r="B710" s="40"/>
      <c r="C710" s="39"/>
      <c r="D710" s="41">
        <v>11</v>
      </c>
      <c r="E710" s="39"/>
      <c r="F710" s="39"/>
      <c r="G710" s="45" t="s">
        <v>294</v>
      </c>
      <c r="H710" s="42"/>
      <c r="I710" s="42"/>
      <c r="J710" s="42">
        <v>642</v>
      </c>
      <c r="K710" s="42"/>
      <c r="L710" s="42"/>
      <c r="M710" s="42"/>
      <c r="N710" s="42"/>
      <c r="O710" s="42"/>
      <c r="P710" s="42"/>
      <c r="Q710" s="42">
        <v>4622</v>
      </c>
      <c r="R710" s="35" t="e">
        <f t="shared" si="140"/>
        <v>#DIV/0!</v>
      </c>
      <c r="S710" s="42"/>
      <c r="T710" s="47"/>
      <c r="U710" s="35"/>
      <c r="V710" s="61"/>
      <c r="W710" s="37"/>
      <c r="X710" s="37"/>
    </row>
    <row r="711" spans="1:24" ht="38.25">
      <c r="A711" s="39">
        <v>11</v>
      </c>
      <c r="B711" s="40"/>
      <c r="C711" s="39"/>
      <c r="D711" s="41"/>
      <c r="E711" s="39"/>
      <c r="F711" s="39"/>
      <c r="G711" s="34" t="s">
        <v>295</v>
      </c>
      <c r="H711" s="42" t="e">
        <f aca="true" t="shared" si="153" ref="H711:U711">H712</f>
        <v>#REF!</v>
      </c>
      <c r="I711" s="42">
        <f t="shared" si="153"/>
        <v>36518.872</v>
      </c>
      <c r="J711" s="42">
        <f t="shared" si="153"/>
        <v>38044.205</v>
      </c>
      <c r="K711" s="42"/>
      <c r="L711" s="42"/>
      <c r="M711" s="42"/>
      <c r="N711" s="42">
        <f t="shared" si="153"/>
        <v>72180.437</v>
      </c>
      <c r="O711" s="42"/>
      <c r="P711" s="42"/>
      <c r="Q711" s="42">
        <f t="shared" si="153"/>
        <v>54458.520699999994</v>
      </c>
      <c r="R711" s="35">
        <f t="shared" si="140"/>
        <v>75.44775698711825</v>
      </c>
      <c r="S711" s="42"/>
      <c r="T711" s="42">
        <f t="shared" si="153"/>
        <v>57052.773876</v>
      </c>
      <c r="U711" s="42">
        <f t="shared" si="153"/>
        <v>58843.01450608</v>
      </c>
      <c r="V711" s="61"/>
      <c r="W711" s="37">
        <f aca="true" t="shared" si="154" ref="W711:W736">J711/I711*100</f>
        <v>104.17683492524084</v>
      </c>
      <c r="X711" s="37">
        <f>N711/J711*100</f>
        <v>189.72781005674847</v>
      </c>
    </row>
    <row r="712" spans="1:24" ht="25.5">
      <c r="A712" s="39"/>
      <c r="B712" s="40">
        <v>2</v>
      </c>
      <c r="C712" s="39"/>
      <c r="D712" s="41"/>
      <c r="E712" s="39"/>
      <c r="F712" s="39"/>
      <c r="G712" s="39" t="s">
        <v>296</v>
      </c>
      <c r="H712" s="42" t="e">
        <f aca="true" t="shared" si="155" ref="H712:U712">H713+H726</f>
        <v>#REF!</v>
      </c>
      <c r="I712" s="42">
        <f t="shared" si="155"/>
        <v>36518.872</v>
      </c>
      <c r="J712" s="42">
        <f t="shared" si="155"/>
        <v>38044.205</v>
      </c>
      <c r="K712" s="42"/>
      <c r="L712" s="42"/>
      <c r="M712" s="42"/>
      <c r="N712" s="42">
        <f t="shared" si="155"/>
        <v>72180.437</v>
      </c>
      <c r="O712" s="42"/>
      <c r="P712" s="42"/>
      <c r="Q712" s="42">
        <f t="shared" si="155"/>
        <v>54458.520699999994</v>
      </c>
      <c r="R712" s="35">
        <f t="shared" si="140"/>
        <v>75.44775698711825</v>
      </c>
      <c r="S712" s="42"/>
      <c r="T712" s="42">
        <f t="shared" si="155"/>
        <v>57052.773876</v>
      </c>
      <c r="U712" s="42">
        <f t="shared" si="155"/>
        <v>58843.01450608</v>
      </c>
      <c r="V712" s="61"/>
      <c r="W712" s="37">
        <f t="shared" si="154"/>
        <v>104.17683492524084</v>
      </c>
      <c r="X712" s="37">
        <f>N712/J712*100</f>
        <v>189.72781005674847</v>
      </c>
    </row>
    <row r="713" spans="1:24" ht="25.5">
      <c r="A713" s="39"/>
      <c r="B713" s="40"/>
      <c r="C713" s="39">
        <v>467</v>
      </c>
      <c r="D713" s="41"/>
      <c r="E713" s="39"/>
      <c r="F713" s="39"/>
      <c r="G713" s="39" t="s">
        <v>202</v>
      </c>
      <c r="H713" s="42" t="e">
        <f aca="true" t="shared" si="156" ref="H713:U713">H714</f>
        <v>#REF!</v>
      </c>
      <c r="I713" s="42">
        <f t="shared" si="156"/>
        <v>15304.571</v>
      </c>
      <c r="J713" s="42">
        <f t="shared" si="156"/>
        <v>16195.5</v>
      </c>
      <c r="K713" s="42"/>
      <c r="L713" s="42"/>
      <c r="M713" s="42"/>
      <c r="N713" s="42">
        <f t="shared" si="156"/>
        <v>20890.271</v>
      </c>
      <c r="O713" s="42"/>
      <c r="P713" s="42"/>
      <c r="Q713" s="42">
        <f t="shared" si="156"/>
        <v>21738.8847</v>
      </c>
      <c r="R713" s="35">
        <f t="shared" si="140"/>
        <v>104.06224361570034</v>
      </c>
      <c r="S713" s="42"/>
      <c r="T713" s="42">
        <f t="shared" si="156"/>
        <v>21714.220276</v>
      </c>
      <c r="U713" s="42">
        <f t="shared" si="156"/>
        <v>22246.86989808</v>
      </c>
      <c r="V713" s="61"/>
      <c r="W713" s="37">
        <f t="shared" si="154"/>
        <v>105.8213261907178</v>
      </c>
      <c r="X713" s="37">
        <f>N713/J713*100</f>
        <v>128.9881201568337</v>
      </c>
    </row>
    <row r="714" spans="1:24" ht="38.25">
      <c r="A714" s="39"/>
      <c r="B714" s="40"/>
      <c r="C714" s="39"/>
      <c r="D714" s="41">
        <v>1</v>
      </c>
      <c r="E714" s="39"/>
      <c r="F714" s="39"/>
      <c r="G714" s="45" t="s">
        <v>297</v>
      </c>
      <c r="H714" s="42" t="e">
        <f>#REF!+#REF!+#REF!</f>
        <v>#REF!</v>
      </c>
      <c r="I714" s="42">
        <f>SUM(I715:I725)</f>
        <v>15304.571</v>
      </c>
      <c r="J714" s="42">
        <f>SUM(J715:J725)</f>
        <v>16195.5</v>
      </c>
      <c r="K714" s="42">
        <f>SUM(K715:K725)</f>
        <v>18574</v>
      </c>
      <c r="L714" s="42">
        <v>17898</v>
      </c>
      <c r="M714" s="42">
        <v>18690</v>
      </c>
      <c r="N714" s="42">
        <f>SUM(N715:N725)</f>
        <v>20890.271</v>
      </c>
      <c r="O714" s="42"/>
      <c r="P714" s="42"/>
      <c r="Q714" s="42">
        <f>SUM(Q715:Q725)+500</f>
        <v>21738.8847</v>
      </c>
      <c r="R714" s="35">
        <f t="shared" si="140"/>
        <v>104.06224361570034</v>
      </c>
      <c r="S714" s="42"/>
      <c r="T714" s="42">
        <f>SUM(T715:T725)</f>
        <v>21714.220276</v>
      </c>
      <c r="U714" s="42">
        <f>SUM(U715:U725)</f>
        <v>22246.86989808</v>
      </c>
      <c r="V714" s="60" t="s">
        <v>298</v>
      </c>
      <c r="W714" s="37">
        <f t="shared" si="154"/>
        <v>105.8213261907178</v>
      </c>
      <c r="X714" s="37">
        <f>N714/J714*100</f>
        <v>128.9881201568337</v>
      </c>
    </row>
    <row r="715" spans="1:24" ht="12.75">
      <c r="A715" s="39"/>
      <c r="B715" s="40"/>
      <c r="C715" s="39"/>
      <c r="D715" s="41"/>
      <c r="E715" s="39"/>
      <c r="F715" s="39">
        <v>111</v>
      </c>
      <c r="G715" s="39" t="s">
        <v>33</v>
      </c>
      <c r="H715" s="42">
        <v>8619</v>
      </c>
      <c r="I715" s="42">
        <v>9329</v>
      </c>
      <c r="J715" s="42">
        <v>10500</v>
      </c>
      <c r="K715" s="42">
        <v>10245</v>
      </c>
      <c r="L715" s="42"/>
      <c r="M715" s="42"/>
      <c r="N715" s="42">
        <v>11839</v>
      </c>
      <c r="O715" s="42"/>
      <c r="P715" s="42"/>
      <c r="Q715" s="42">
        <v>11840</v>
      </c>
      <c r="R715" s="35">
        <f aca="true" t="shared" si="157" ref="R715:R778">Q715/N715*100</f>
        <v>100.00844665934623</v>
      </c>
      <c r="S715" s="42"/>
      <c r="T715" s="42">
        <v>11900</v>
      </c>
      <c r="U715" s="42">
        <v>11900</v>
      </c>
      <c r="V715" s="46"/>
      <c r="W715" s="37">
        <f t="shared" si="154"/>
        <v>112.55225640475935</v>
      </c>
      <c r="X715" s="37">
        <f>N715/J715*100</f>
        <v>112.75238095238096</v>
      </c>
    </row>
    <row r="716" spans="1:24" ht="12.75">
      <c r="A716" s="39"/>
      <c r="B716" s="40"/>
      <c r="C716" s="39"/>
      <c r="D716" s="41"/>
      <c r="E716" s="39"/>
      <c r="F716" s="39">
        <v>112</v>
      </c>
      <c r="G716" s="39"/>
      <c r="H716" s="42"/>
      <c r="I716" s="42"/>
      <c r="J716" s="42"/>
      <c r="K716" s="42">
        <v>240</v>
      </c>
      <c r="L716" s="42"/>
      <c r="M716" s="42"/>
      <c r="N716" s="42"/>
      <c r="O716" s="42"/>
      <c r="P716" s="42"/>
      <c r="Q716" s="42"/>
      <c r="R716" s="35" t="e">
        <f t="shared" si="157"/>
        <v>#DIV/0!</v>
      </c>
      <c r="S716" s="42"/>
      <c r="T716" s="42"/>
      <c r="U716" s="35"/>
      <c r="V716" s="46"/>
      <c r="W716" s="37"/>
      <c r="X716" s="37"/>
    </row>
    <row r="717" spans="1:24" ht="12.75">
      <c r="A717" s="39"/>
      <c r="B717" s="40"/>
      <c r="C717" s="39"/>
      <c r="D717" s="41"/>
      <c r="E717" s="39"/>
      <c r="F717" s="39">
        <v>113</v>
      </c>
      <c r="G717" s="39" t="s">
        <v>35</v>
      </c>
      <c r="H717" s="42">
        <v>1437</v>
      </c>
      <c r="I717" s="42">
        <v>1728</v>
      </c>
      <c r="J717" s="42">
        <v>1978</v>
      </c>
      <c r="K717" s="42">
        <v>1858</v>
      </c>
      <c r="L717" s="42"/>
      <c r="M717" s="42"/>
      <c r="N717" s="42">
        <v>1973</v>
      </c>
      <c r="O717" s="42"/>
      <c r="P717" s="42"/>
      <c r="Q717" s="42">
        <f>N717</f>
        <v>1973</v>
      </c>
      <c r="R717" s="35">
        <f t="shared" si="157"/>
        <v>100</v>
      </c>
      <c r="S717" s="42"/>
      <c r="T717" s="47">
        <v>1978</v>
      </c>
      <c r="U717" s="47">
        <v>1978</v>
      </c>
      <c r="V717" s="61"/>
      <c r="W717" s="37">
        <f t="shared" si="154"/>
        <v>114.46759259259258</v>
      </c>
      <c r="X717" s="37">
        <f aca="true" t="shared" si="158" ref="X717:X723">N717/J717*100</f>
        <v>99.74721941354903</v>
      </c>
    </row>
    <row r="718" spans="1:24" ht="12.75">
      <c r="A718" s="39"/>
      <c r="B718" s="40"/>
      <c r="C718" s="39"/>
      <c r="D718" s="41"/>
      <c r="E718" s="39"/>
      <c r="F718" s="39">
        <v>121</v>
      </c>
      <c r="G718" s="39" t="s">
        <v>36</v>
      </c>
      <c r="H718" s="42">
        <v>543</v>
      </c>
      <c r="I718" s="42">
        <f>(I715-(I715*0.1))*0.06</f>
        <v>503.766</v>
      </c>
      <c r="J718" s="42">
        <f>(J715-(J715*0.1))*0.06</f>
        <v>567</v>
      </c>
      <c r="K718" s="42">
        <v>567</v>
      </c>
      <c r="L718" s="42"/>
      <c r="M718" s="42"/>
      <c r="N718" s="42">
        <f>(N715-(N715*0.1))*0.06</f>
        <v>639.306</v>
      </c>
      <c r="O718" s="42"/>
      <c r="P718" s="42"/>
      <c r="Q718" s="42">
        <f>(Q715-(Q715*0.1))*0.06</f>
        <v>639.36</v>
      </c>
      <c r="R718" s="35">
        <f t="shared" si="157"/>
        <v>100.00844665934623</v>
      </c>
      <c r="S718" s="42"/>
      <c r="T718" s="42">
        <f>(T715-(T715*0.1))*0.06</f>
        <v>642.6</v>
      </c>
      <c r="U718" s="42">
        <f>(U715-(U715*0.1))*0.06</f>
        <v>642.6</v>
      </c>
      <c r="V718" s="61"/>
      <c r="W718" s="37">
        <f t="shared" si="154"/>
        <v>112.55225640475935</v>
      </c>
      <c r="X718" s="37">
        <f t="shared" si="158"/>
        <v>112.75238095238096</v>
      </c>
    </row>
    <row r="719" spans="1:24" ht="25.5">
      <c r="A719" s="39"/>
      <c r="B719" s="40"/>
      <c r="C719" s="39"/>
      <c r="D719" s="41"/>
      <c r="E719" s="39"/>
      <c r="F719" s="39">
        <v>122</v>
      </c>
      <c r="G719" s="39" t="s">
        <v>37</v>
      </c>
      <c r="H719" s="42">
        <v>310</v>
      </c>
      <c r="I719" s="42">
        <f>(I715-(I715*0.1))*0.05</f>
        <v>419.80500000000006</v>
      </c>
      <c r="J719" s="42">
        <f>(J715-(J715*0.1))*0.05</f>
        <v>472.5</v>
      </c>
      <c r="K719" s="42">
        <v>498</v>
      </c>
      <c r="L719" s="42"/>
      <c r="M719" s="42"/>
      <c r="N719" s="42">
        <f>(N715-(N715*0.1))*0.05</f>
        <v>532.755</v>
      </c>
      <c r="O719" s="42"/>
      <c r="P719" s="42"/>
      <c r="Q719" s="42">
        <f>(Q715-(Q715*0.1))*0.05</f>
        <v>532.8000000000001</v>
      </c>
      <c r="R719" s="35">
        <f t="shared" si="157"/>
        <v>100.00844665934625</v>
      </c>
      <c r="S719" s="42"/>
      <c r="T719" s="42">
        <f>(T715-(T715*0.1))*0.05</f>
        <v>535.5</v>
      </c>
      <c r="U719" s="42">
        <f>(U715-(U715*0.1))*0.05</f>
        <v>535.5</v>
      </c>
      <c r="V719" s="61"/>
      <c r="W719" s="37">
        <f t="shared" si="154"/>
        <v>112.55225640475935</v>
      </c>
      <c r="X719" s="37">
        <f t="shared" si="158"/>
        <v>112.75238095238096</v>
      </c>
    </row>
    <row r="720" spans="1:24" ht="38.25">
      <c r="A720" s="39"/>
      <c r="B720" s="40"/>
      <c r="C720" s="39"/>
      <c r="D720" s="41"/>
      <c r="E720" s="39"/>
      <c r="F720" s="39">
        <v>125</v>
      </c>
      <c r="G720" s="39" t="s">
        <v>38</v>
      </c>
      <c r="H720" s="42">
        <v>7</v>
      </c>
      <c r="I720" s="42">
        <v>7</v>
      </c>
      <c r="J720" s="42">
        <v>9</v>
      </c>
      <c r="K720" s="42">
        <v>9</v>
      </c>
      <c r="L720" s="42"/>
      <c r="M720" s="42"/>
      <c r="N720" s="42">
        <v>9</v>
      </c>
      <c r="O720" s="42"/>
      <c r="P720" s="42"/>
      <c r="Q720" s="42">
        <f aca="true" t="shared" si="159" ref="Q720:Q725">N720+(N720*0.07)</f>
        <v>9.63</v>
      </c>
      <c r="R720" s="35">
        <f t="shared" si="157"/>
        <v>107</v>
      </c>
      <c r="S720" s="42"/>
      <c r="T720" s="47">
        <f>Q720*1.08</f>
        <v>10.400400000000001</v>
      </c>
      <c r="U720" s="47">
        <f>T720*1.08</f>
        <v>11.232432000000003</v>
      </c>
      <c r="V720" s="61"/>
      <c r="W720" s="37">
        <f t="shared" si="154"/>
        <v>128.57142857142858</v>
      </c>
      <c r="X720" s="37">
        <f t="shared" si="158"/>
        <v>100</v>
      </c>
    </row>
    <row r="721" spans="1:24" ht="12.75">
      <c r="A721" s="39"/>
      <c r="B721" s="40"/>
      <c r="C721" s="39"/>
      <c r="D721" s="41"/>
      <c r="E721" s="39"/>
      <c r="F721" s="39">
        <v>139</v>
      </c>
      <c r="G721" s="39" t="s">
        <v>39</v>
      </c>
      <c r="H721" s="42">
        <v>939</v>
      </c>
      <c r="I721" s="42">
        <v>981</v>
      </c>
      <c r="J721" s="42">
        <f>517+25</f>
        <v>542</v>
      </c>
      <c r="K721" s="42">
        <v>1579</v>
      </c>
      <c r="L721" s="42"/>
      <c r="M721" s="42"/>
      <c r="N721" s="42">
        <v>1648</v>
      </c>
      <c r="O721" s="42"/>
      <c r="P721" s="42"/>
      <c r="Q721" s="42">
        <f>N721+(N721*0.03)</f>
        <v>1697.44</v>
      </c>
      <c r="R721" s="35">
        <f t="shared" si="157"/>
        <v>103</v>
      </c>
      <c r="S721" s="42"/>
      <c r="T721" s="47">
        <f>Q721*1.08</f>
        <v>1833.2352</v>
      </c>
      <c r="U721" s="47">
        <f>T721*1.08</f>
        <v>1979.8940160000002</v>
      </c>
      <c r="V721" s="61"/>
      <c r="W721" s="37">
        <f t="shared" si="154"/>
        <v>55.24974515800204</v>
      </c>
      <c r="X721" s="37">
        <f t="shared" si="158"/>
        <v>304.0590405904059</v>
      </c>
    </row>
    <row r="722" spans="1:24" ht="12.75">
      <c r="A722" s="39"/>
      <c r="B722" s="40"/>
      <c r="C722" s="39"/>
      <c r="D722" s="41"/>
      <c r="E722" s="39"/>
      <c r="F722" s="39">
        <v>142</v>
      </c>
      <c r="G722" s="39" t="s">
        <v>40</v>
      </c>
      <c r="H722" s="42">
        <v>498</v>
      </c>
      <c r="I722" s="42">
        <v>423</v>
      </c>
      <c r="J722" s="42">
        <v>412</v>
      </c>
      <c r="K722" s="42">
        <v>412</v>
      </c>
      <c r="L722" s="42"/>
      <c r="M722" s="42"/>
      <c r="N722" s="42">
        <v>442</v>
      </c>
      <c r="O722" s="42"/>
      <c r="P722" s="42"/>
      <c r="Q722" s="42">
        <f t="shared" si="159"/>
        <v>472.94</v>
      </c>
      <c r="R722" s="35">
        <f t="shared" si="157"/>
        <v>107</v>
      </c>
      <c r="S722" s="42"/>
      <c r="T722" s="47">
        <f>Q722*1.08</f>
        <v>510.77520000000004</v>
      </c>
      <c r="U722" s="47">
        <f>T722*1.08</f>
        <v>551.6372160000001</v>
      </c>
      <c r="V722" s="61"/>
      <c r="W722" s="37">
        <f t="shared" si="154"/>
        <v>97.39952718676122</v>
      </c>
      <c r="X722" s="37">
        <f t="shared" si="158"/>
        <v>107.28155339805825</v>
      </c>
    </row>
    <row r="723" spans="1:24" ht="38.25">
      <c r="A723" s="39"/>
      <c r="B723" s="40"/>
      <c r="C723" s="39"/>
      <c r="D723" s="41"/>
      <c r="E723" s="39"/>
      <c r="F723" s="39">
        <v>149</v>
      </c>
      <c r="G723" s="39" t="s">
        <v>43</v>
      </c>
      <c r="H723" s="42">
        <v>1242</v>
      </c>
      <c r="I723" s="42">
        <v>1908</v>
      </c>
      <c r="J723" s="42">
        <v>1712</v>
      </c>
      <c r="K723" s="42">
        <v>2748</v>
      </c>
      <c r="L723" s="42"/>
      <c r="M723" s="42"/>
      <c r="N723" s="42">
        <v>3804</v>
      </c>
      <c r="O723" s="42"/>
      <c r="P723" s="42"/>
      <c r="Q723" s="42">
        <f t="shared" si="159"/>
        <v>4070.28</v>
      </c>
      <c r="R723" s="35">
        <f t="shared" si="157"/>
        <v>107</v>
      </c>
      <c r="S723" s="42"/>
      <c r="T723" s="47">
        <v>4300</v>
      </c>
      <c r="U723" s="47">
        <f>T723*1.08</f>
        <v>4644</v>
      </c>
      <c r="V723" s="46" t="s">
        <v>299</v>
      </c>
      <c r="W723" s="37">
        <f t="shared" si="154"/>
        <v>89.72746331236897</v>
      </c>
      <c r="X723" s="37">
        <f t="shared" si="158"/>
        <v>222.196261682243</v>
      </c>
    </row>
    <row r="724" spans="1:24" ht="12.75">
      <c r="A724" s="39"/>
      <c r="B724" s="40"/>
      <c r="C724" s="39"/>
      <c r="D724" s="41"/>
      <c r="E724" s="39"/>
      <c r="F724" s="39">
        <v>151</v>
      </c>
      <c r="G724" s="39"/>
      <c r="H724" s="42"/>
      <c r="I724" s="42"/>
      <c r="J724" s="42"/>
      <c r="K724" s="42">
        <v>415</v>
      </c>
      <c r="L724" s="42"/>
      <c r="M724" s="42"/>
      <c r="N724" s="42"/>
      <c r="O724" s="42"/>
      <c r="P724" s="42"/>
      <c r="Q724" s="42">
        <f t="shared" si="159"/>
        <v>0</v>
      </c>
      <c r="R724" s="35" t="e">
        <f t="shared" si="157"/>
        <v>#DIV/0!</v>
      </c>
      <c r="S724" s="42"/>
      <c r="T724" s="47"/>
      <c r="U724" s="47">
        <f>T724*1.08</f>
        <v>0</v>
      </c>
      <c r="V724" s="46"/>
      <c r="W724" s="37"/>
      <c r="X724" s="37"/>
    </row>
    <row r="725" spans="1:24" ht="12.75">
      <c r="A725" s="39"/>
      <c r="B725" s="40"/>
      <c r="C725" s="39"/>
      <c r="D725" s="41"/>
      <c r="E725" s="39"/>
      <c r="F725" s="39">
        <v>159</v>
      </c>
      <c r="G725" s="39" t="s">
        <v>46</v>
      </c>
      <c r="H725" s="42">
        <v>5</v>
      </c>
      <c r="I725" s="42">
        <v>5</v>
      </c>
      <c r="J725" s="42">
        <v>3</v>
      </c>
      <c r="K725" s="42">
        <v>3</v>
      </c>
      <c r="L725" s="42"/>
      <c r="M725" s="42"/>
      <c r="N725" s="42">
        <f>J725+(J725*0.07)</f>
        <v>3.21</v>
      </c>
      <c r="O725" s="42"/>
      <c r="P725" s="42"/>
      <c r="Q725" s="42">
        <f t="shared" si="159"/>
        <v>3.4347</v>
      </c>
      <c r="R725" s="35">
        <f t="shared" si="157"/>
        <v>107</v>
      </c>
      <c r="S725" s="42"/>
      <c r="T725" s="47">
        <f>Q725*1.08</f>
        <v>3.709476</v>
      </c>
      <c r="U725" s="47">
        <f>T725*1.08</f>
        <v>4.0062340800000005</v>
      </c>
      <c r="V725" s="61"/>
      <c r="W725" s="37">
        <f t="shared" si="154"/>
        <v>60</v>
      </c>
      <c r="X725" s="37">
        <f aca="true" t="shared" si="160" ref="X725:X736">N725/J725*100</f>
        <v>107</v>
      </c>
    </row>
    <row r="726" spans="1:24" ht="25.5">
      <c r="A726" s="39"/>
      <c r="B726" s="40"/>
      <c r="C726" s="39">
        <v>468</v>
      </c>
      <c r="D726" s="41"/>
      <c r="E726" s="39"/>
      <c r="F726" s="39"/>
      <c r="G726" s="39" t="s">
        <v>300</v>
      </c>
      <c r="H726" s="42" t="e">
        <f>H727+H741+H739</f>
        <v>#REF!</v>
      </c>
      <c r="I726" s="42">
        <f>I727+I739</f>
        <v>21214.301</v>
      </c>
      <c r="J726" s="42">
        <f>J727+J739</f>
        <v>21848.705</v>
      </c>
      <c r="K726" s="42"/>
      <c r="L726" s="42"/>
      <c r="M726" s="42"/>
      <c r="N726" s="42">
        <f>N727+N739</f>
        <v>51290.166</v>
      </c>
      <c r="O726" s="42"/>
      <c r="P726" s="42"/>
      <c r="Q726" s="42">
        <f>Q727+Q739</f>
        <v>32719.636</v>
      </c>
      <c r="R726" s="35">
        <f t="shared" si="157"/>
        <v>63.79319575608314</v>
      </c>
      <c r="S726" s="42"/>
      <c r="T726" s="42">
        <f>T727+T739</f>
        <v>35338.5536</v>
      </c>
      <c r="U726" s="42">
        <f>U727+U739</f>
        <v>36596.144608</v>
      </c>
      <c r="V726" s="61"/>
      <c r="W726" s="37">
        <f t="shared" si="154"/>
        <v>102.99045441091839</v>
      </c>
      <c r="X726" s="37">
        <f t="shared" si="160"/>
        <v>234.75151502114198</v>
      </c>
    </row>
    <row r="727" spans="1:24" ht="38.25">
      <c r="A727" s="39"/>
      <c r="B727" s="40"/>
      <c r="C727" s="39"/>
      <c r="D727" s="41">
        <v>1</v>
      </c>
      <c r="E727" s="39"/>
      <c r="F727" s="39"/>
      <c r="G727" s="45" t="s">
        <v>301</v>
      </c>
      <c r="H727" s="42" t="e">
        <f>#REF!+#REF!+#REF!</f>
        <v>#REF!</v>
      </c>
      <c r="I727" s="42">
        <f>SUM(I728:I738)</f>
        <v>11214.301</v>
      </c>
      <c r="J727" s="42">
        <f>SUM(J728:J738)</f>
        <v>11148.705</v>
      </c>
      <c r="K727" s="42"/>
      <c r="L727" s="42">
        <v>12290</v>
      </c>
      <c r="M727" s="42">
        <v>12270</v>
      </c>
      <c r="N727" s="42">
        <f>SUM(N728:N738)</f>
        <v>14270.166000000001</v>
      </c>
      <c r="O727" s="42"/>
      <c r="P727" s="42"/>
      <c r="Q727" s="42">
        <f>SUM(Q728:Q738)-1000+7850</f>
        <v>21267.636</v>
      </c>
      <c r="R727" s="35">
        <f t="shared" si="157"/>
        <v>149.0356594310115</v>
      </c>
      <c r="S727" s="42"/>
      <c r="T727" s="42">
        <f>SUM(T728:T738)+8400</f>
        <v>23238.5536</v>
      </c>
      <c r="U727" s="42">
        <f>SUM(U728:U738)+8903</f>
        <v>24196.144608000002</v>
      </c>
      <c r="V727" s="61" t="s">
        <v>302</v>
      </c>
      <c r="W727" s="37">
        <f t="shared" si="154"/>
        <v>99.415068313219</v>
      </c>
      <c r="X727" s="37">
        <f t="shared" si="160"/>
        <v>127.99841775345209</v>
      </c>
    </row>
    <row r="728" spans="1:24" ht="12.75">
      <c r="A728" s="39"/>
      <c r="B728" s="40"/>
      <c r="C728" s="39"/>
      <c r="D728" s="41"/>
      <c r="E728" s="39"/>
      <c r="F728" s="39">
        <v>111</v>
      </c>
      <c r="G728" s="39" t="s">
        <v>33</v>
      </c>
      <c r="H728" s="42">
        <v>5498</v>
      </c>
      <c r="I728" s="42">
        <v>5599</v>
      </c>
      <c r="J728" s="42">
        <v>6215</v>
      </c>
      <c r="K728" s="42"/>
      <c r="L728" s="42"/>
      <c r="M728" s="42"/>
      <c r="N728" s="42">
        <v>7234</v>
      </c>
      <c r="O728" s="42">
        <v>7234</v>
      </c>
      <c r="P728" s="42"/>
      <c r="Q728" s="42">
        <v>7234</v>
      </c>
      <c r="R728" s="35">
        <f t="shared" si="157"/>
        <v>100</v>
      </c>
      <c r="S728" s="42"/>
      <c r="T728" s="42">
        <v>7234</v>
      </c>
      <c r="U728" s="42">
        <v>7234</v>
      </c>
      <c r="V728" s="46"/>
      <c r="W728" s="37">
        <f t="shared" si="154"/>
        <v>111.00196463654224</v>
      </c>
      <c r="X728" s="37">
        <f t="shared" si="160"/>
        <v>116.39581657280773</v>
      </c>
    </row>
    <row r="729" spans="1:24" ht="12.75">
      <c r="A729" s="39"/>
      <c r="B729" s="40"/>
      <c r="C729" s="39"/>
      <c r="D729" s="41"/>
      <c r="E729" s="39"/>
      <c r="F729" s="39">
        <v>113</v>
      </c>
      <c r="G729" s="39" t="s">
        <v>35</v>
      </c>
      <c r="H729" s="42">
        <v>917</v>
      </c>
      <c r="I729" s="42">
        <v>1006</v>
      </c>
      <c r="J729" s="42">
        <v>1171</v>
      </c>
      <c r="K729" s="42"/>
      <c r="L729" s="42"/>
      <c r="M729" s="42"/>
      <c r="N729" s="42">
        <v>1206</v>
      </c>
      <c r="O729" s="42"/>
      <c r="P729" s="42"/>
      <c r="Q729" s="42">
        <f>N729</f>
        <v>1206</v>
      </c>
      <c r="R729" s="35">
        <f t="shared" si="157"/>
        <v>100</v>
      </c>
      <c r="S729" s="42"/>
      <c r="T729" s="42">
        <f>Q729</f>
        <v>1206</v>
      </c>
      <c r="U729" s="42">
        <f>T729</f>
        <v>1206</v>
      </c>
      <c r="V729" s="61"/>
      <c r="W729" s="37">
        <f t="shared" si="154"/>
        <v>116.40159045725646</v>
      </c>
      <c r="X729" s="37">
        <f t="shared" si="160"/>
        <v>102.98889837745517</v>
      </c>
    </row>
    <row r="730" spans="1:24" ht="12.75">
      <c r="A730" s="39"/>
      <c r="B730" s="40"/>
      <c r="C730" s="39"/>
      <c r="D730" s="41"/>
      <c r="E730" s="39"/>
      <c r="F730" s="39">
        <v>121</v>
      </c>
      <c r="G730" s="39" t="s">
        <v>36</v>
      </c>
      <c r="H730" s="42">
        <v>347</v>
      </c>
      <c r="I730" s="42">
        <f>(I728-(I728*0.1))*0.06</f>
        <v>302.346</v>
      </c>
      <c r="J730" s="42">
        <f>(J728-(J728*0.1))*0.06</f>
        <v>335.61</v>
      </c>
      <c r="K730" s="42"/>
      <c r="L730" s="42"/>
      <c r="M730" s="42"/>
      <c r="N730" s="42">
        <f>(N728-(N728*0.1))*0.06</f>
        <v>390.636</v>
      </c>
      <c r="O730" s="42"/>
      <c r="P730" s="42"/>
      <c r="Q730" s="42">
        <f>(Q728-(Q728*0.1))*0.06</f>
        <v>390.636</v>
      </c>
      <c r="R730" s="35">
        <f t="shared" si="157"/>
        <v>100</v>
      </c>
      <c r="S730" s="42"/>
      <c r="T730" s="42">
        <f>(T728-(T728*0.1))*0.06</f>
        <v>390.636</v>
      </c>
      <c r="U730" s="42">
        <f>(U728-(U728*0.1))*0.06</f>
        <v>390.636</v>
      </c>
      <c r="V730" s="61"/>
      <c r="W730" s="37">
        <f t="shared" si="154"/>
        <v>111.00196463654224</v>
      </c>
      <c r="X730" s="37">
        <f t="shared" si="160"/>
        <v>116.39581657280773</v>
      </c>
    </row>
    <row r="731" spans="1:24" ht="25.5">
      <c r="A731" s="39"/>
      <c r="B731" s="40"/>
      <c r="C731" s="39"/>
      <c r="D731" s="41"/>
      <c r="E731" s="39"/>
      <c r="F731" s="39">
        <v>122</v>
      </c>
      <c r="G731" s="39" t="s">
        <v>37</v>
      </c>
      <c r="H731" s="42">
        <v>198</v>
      </c>
      <c r="I731" s="42">
        <f>(I728-(I728*0.1))*0.05</f>
        <v>251.95500000000004</v>
      </c>
      <c r="J731" s="42">
        <f>(J728-(J728*0.1))*0.05</f>
        <v>279.675</v>
      </c>
      <c r="K731" s="42"/>
      <c r="L731" s="42"/>
      <c r="M731" s="42"/>
      <c r="N731" s="42">
        <f>(N728-(N728*0.1))*0.05</f>
        <v>325.53000000000003</v>
      </c>
      <c r="O731" s="42"/>
      <c r="P731" s="42"/>
      <c r="Q731" s="42">
        <f>(Q728-(Q728*0.1))*0.05</f>
        <v>325.53000000000003</v>
      </c>
      <c r="R731" s="35">
        <f t="shared" si="157"/>
        <v>100</v>
      </c>
      <c r="S731" s="42"/>
      <c r="T731" s="42">
        <f>(T728-(T728*0.1))*0.05</f>
        <v>325.53000000000003</v>
      </c>
      <c r="U731" s="42">
        <f>(U728-(U728*0.1))*0.05</f>
        <v>325.53000000000003</v>
      </c>
      <c r="V731" s="61"/>
      <c r="W731" s="37">
        <f t="shared" si="154"/>
        <v>111.00196463654221</v>
      </c>
      <c r="X731" s="37">
        <f t="shared" si="160"/>
        <v>116.39581657280773</v>
      </c>
    </row>
    <row r="732" spans="1:24" ht="38.25">
      <c r="A732" s="39"/>
      <c r="B732" s="40"/>
      <c r="C732" s="39"/>
      <c r="D732" s="41"/>
      <c r="E732" s="39"/>
      <c r="F732" s="39">
        <v>125</v>
      </c>
      <c r="G732" s="39" t="s">
        <v>38</v>
      </c>
      <c r="H732" s="42">
        <v>9</v>
      </c>
      <c r="I732" s="42">
        <v>7</v>
      </c>
      <c r="J732" s="42"/>
      <c r="K732" s="42"/>
      <c r="L732" s="42"/>
      <c r="M732" s="42"/>
      <c r="N732" s="42">
        <v>9</v>
      </c>
      <c r="O732" s="42"/>
      <c r="P732" s="42"/>
      <c r="Q732" s="42">
        <f>N732+(N732*0.07)</f>
        <v>9.63</v>
      </c>
      <c r="R732" s="35">
        <f t="shared" si="157"/>
        <v>107</v>
      </c>
      <c r="S732" s="42"/>
      <c r="T732" s="47">
        <f aca="true" t="shared" si="161" ref="T732:T738">Q732*1.08</f>
        <v>10.400400000000001</v>
      </c>
      <c r="U732" s="47">
        <f>T732*1.08</f>
        <v>11.232432000000003</v>
      </c>
      <c r="V732" s="61"/>
      <c r="W732" s="37">
        <f t="shared" si="154"/>
        <v>0</v>
      </c>
      <c r="X732" s="37" t="e">
        <f t="shared" si="160"/>
        <v>#DIV/0!</v>
      </c>
    </row>
    <row r="733" spans="1:24" ht="12.75">
      <c r="A733" s="39"/>
      <c r="B733" s="40"/>
      <c r="C733" s="39"/>
      <c r="D733" s="41"/>
      <c r="E733" s="39"/>
      <c r="F733" s="39">
        <v>139</v>
      </c>
      <c r="G733" s="39" t="s">
        <v>39</v>
      </c>
      <c r="H733" s="42">
        <v>1078</v>
      </c>
      <c r="I733" s="42">
        <v>1934</v>
      </c>
      <c r="J733" s="42">
        <v>1071</v>
      </c>
      <c r="K733" s="42"/>
      <c r="L733" s="42"/>
      <c r="M733" s="42"/>
      <c r="N733" s="42">
        <v>1383</v>
      </c>
      <c r="O733" s="42"/>
      <c r="P733" s="42"/>
      <c r="Q733" s="42">
        <f>N733+(N733*0.07)-140</f>
        <v>1339.81</v>
      </c>
      <c r="R733" s="35">
        <f t="shared" si="157"/>
        <v>96.8770788141721</v>
      </c>
      <c r="S733" s="42"/>
      <c r="T733" s="47">
        <f t="shared" si="161"/>
        <v>1446.9948</v>
      </c>
      <c r="U733" s="47">
        <f aca="true" t="shared" si="162" ref="U733:U738">T733*1.08</f>
        <v>1562.754384</v>
      </c>
      <c r="V733" s="46"/>
      <c r="W733" s="37">
        <f t="shared" si="154"/>
        <v>55.37745604963805</v>
      </c>
      <c r="X733" s="37">
        <f t="shared" si="160"/>
        <v>129.13165266106444</v>
      </c>
    </row>
    <row r="734" spans="1:24" ht="12.75">
      <c r="A734" s="39"/>
      <c r="B734" s="40"/>
      <c r="C734" s="39"/>
      <c r="D734" s="41"/>
      <c r="E734" s="39"/>
      <c r="F734" s="39">
        <v>142</v>
      </c>
      <c r="G734" s="39" t="s">
        <v>40</v>
      </c>
      <c r="H734" s="42">
        <v>276</v>
      </c>
      <c r="I734" s="42">
        <v>553</v>
      </c>
      <c r="J734" s="42">
        <v>590</v>
      </c>
      <c r="K734" s="42"/>
      <c r="L734" s="42"/>
      <c r="M734" s="42"/>
      <c r="N734" s="42">
        <v>499</v>
      </c>
      <c r="O734" s="42"/>
      <c r="P734" s="42"/>
      <c r="Q734" s="42">
        <f>N734+(N734*0.07)</f>
        <v>533.9300000000001</v>
      </c>
      <c r="R734" s="35">
        <f t="shared" si="157"/>
        <v>107</v>
      </c>
      <c r="S734" s="42"/>
      <c r="T734" s="47">
        <f t="shared" si="161"/>
        <v>576.6444000000001</v>
      </c>
      <c r="U734" s="47">
        <f t="shared" si="162"/>
        <v>622.7759520000002</v>
      </c>
      <c r="V734" s="61"/>
      <c r="W734" s="37">
        <f t="shared" si="154"/>
        <v>106.69077757685352</v>
      </c>
      <c r="X734" s="37">
        <f t="shared" si="160"/>
        <v>84.57627118644068</v>
      </c>
    </row>
    <row r="735" spans="1:24" ht="12.75">
      <c r="A735" s="39"/>
      <c r="B735" s="40"/>
      <c r="C735" s="39"/>
      <c r="D735" s="41"/>
      <c r="E735" s="39"/>
      <c r="F735" s="39">
        <v>143</v>
      </c>
      <c r="G735" s="39" t="s">
        <v>41</v>
      </c>
      <c r="H735" s="42"/>
      <c r="I735" s="42"/>
      <c r="J735" s="42"/>
      <c r="K735" s="42"/>
      <c r="L735" s="42"/>
      <c r="M735" s="42"/>
      <c r="N735" s="42">
        <v>1021</v>
      </c>
      <c r="O735" s="42"/>
      <c r="P735" s="42"/>
      <c r="Q735" s="42">
        <f>N735+(N735*0.07)</f>
        <v>1092.47</v>
      </c>
      <c r="R735" s="35">
        <f t="shared" si="157"/>
        <v>107</v>
      </c>
      <c r="S735" s="42"/>
      <c r="T735" s="47">
        <f t="shared" si="161"/>
        <v>1179.8676</v>
      </c>
      <c r="U735" s="47">
        <f t="shared" si="162"/>
        <v>1274.257008</v>
      </c>
      <c r="V735" s="61"/>
      <c r="W735" s="37"/>
      <c r="X735" s="37"/>
    </row>
    <row r="736" spans="1:24" ht="12.75">
      <c r="A736" s="39"/>
      <c r="B736" s="40"/>
      <c r="C736" s="39"/>
      <c r="D736" s="41"/>
      <c r="E736" s="39"/>
      <c r="F736" s="39">
        <v>149</v>
      </c>
      <c r="G736" s="39" t="s">
        <v>43</v>
      </c>
      <c r="H736" s="42">
        <v>2512</v>
      </c>
      <c r="I736" s="42">
        <v>1555</v>
      </c>
      <c r="J736" s="42">
        <v>1480</v>
      </c>
      <c r="K736" s="42"/>
      <c r="L736" s="42"/>
      <c r="M736" s="42"/>
      <c r="N736" s="42">
        <v>2193</v>
      </c>
      <c r="O736" s="42"/>
      <c r="P736" s="42"/>
      <c r="Q736" s="42">
        <v>2276</v>
      </c>
      <c r="R736" s="35">
        <f t="shared" si="157"/>
        <v>103.78476972184222</v>
      </c>
      <c r="S736" s="42"/>
      <c r="T736" s="47">
        <f t="shared" si="161"/>
        <v>2458.0800000000004</v>
      </c>
      <c r="U736" s="47">
        <f t="shared" si="162"/>
        <v>2654.7264000000005</v>
      </c>
      <c r="V736" s="61" t="s">
        <v>303</v>
      </c>
      <c r="W736" s="37">
        <f t="shared" si="154"/>
        <v>95.17684887459808</v>
      </c>
      <c r="X736" s="37">
        <f t="shared" si="160"/>
        <v>148.17567567567568</v>
      </c>
    </row>
    <row r="737" spans="1:24" ht="12.75">
      <c r="A737" s="39"/>
      <c r="B737" s="40"/>
      <c r="C737" s="39"/>
      <c r="D737" s="41"/>
      <c r="E737" s="39"/>
      <c r="F737" s="39">
        <v>151</v>
      </c>
      <c r="G737" s="39" t="s">
        <v>45</v>
      </c>
      <c r="H737" s="42">
        <v>71</v>
      </c>
      <c r="I737" s="42"/>
      <c r="J737" s="42">
        <f>I737+(I737*0.075)</f>
        <v>0</v>
      </c>
      <c r="K737" s="42"/>
      <c r="L737" s="42"/>
      <c r="M737" s="42"/>
      <c r="N737" s="42">
        <f>J737+(J737*0.07)</f>
        <v>0</v>
      </c>
      <c r="O737" s="42"/>
      <c r="P737" s="42"/>
      <c r="Q737" s="42">
        <f>N737+(N737*0.07)</f>
        <v>0</v>
      </c>
      <c r="R737" s="35" t="e">
        <f t="shared" si="157"/>
        <v>#DIV/0!</v>
      </c>
      <c r="S737" s="42"/>
      <c r="T737" s="47">
        <f t="shared" si="161"/>
        <v>0</v>
      </c>
      <c r="U737" s="47">
        <f t="shared" si="162"/>
        <v>0</v>
      </c>
      <c r="V737" s="61"/>
      <c r="W737" s="37"/>
      <c r="X737" s="37"/>
    </row>
    <row r="738" spans="1:24" ht="12.75">
      <c r="A738" s="39"/>
      <c r="B738" s="40"/>
      <c r="C738" s="39"/>
      <c r="D738" s="41"/>
      <c r="E738" s="39"/>
      <c r="F738" s="39">
        <v>159</v>
      </c>
      <c r="G738" s="39" t="s">
        <v>46</v>
      </c>
      <c r="H738" s="42">
        <v>10</v>
      </c>
      <c r="I738" s="42">
        <v>6</v>
      </c>
      <c r="J738" s="42">
        <f>I738+(I738*0.07)</f>
        <v>6.42</v>
      </c>
      <c r="K738" s="42"/>
      <c r="L738" s="42"/>
      <c r="M738" s="42"/>
      <c r="N738" s="42">
        <v>9</v>
      </c>
      <c r="O738" s="42"/>
      <c r="P738" s="42"/>
      <c r="Q738" s="42">
        <f>N738+(N738*0.07)</f>
        <v>9.63</v>
      </c>
      <c r="R738" s="35">
        <f t="shared" si="157"/>
        <v>107</v>
      </c>
      <c r="S738" s="42"/>
      <c r="T738" s="47">
        <f t="shared" si="161"/>
        <v>10.400400000000001</v>
      </c>
      <c r="U738" s="47">
        <f t="shared" si="162"/>
        <v>11.232432000000003</v>
      </c>
      <c r="V738" s="61"/>
      <c r="W738" s="37">
        <f>J738/I738*100</f>
        <v>107</v>
      </c>
      <c r="X738" s="37">
        <f>N738/J738*100</f>
        <v>140.18691588785046</v>
      </c>
    </row>
    <row r="739" spans="1:24" ht="12.75">
      <c r="A739" s="39"/>
      <c r="B739" s="40"/>
      <c r="C739" s="39"/>
      <c r="D739" s="41">
        <v>2</v>
      </c>
      <c r="E739" s="39" t="s">
        <v>67</v>
      </c>
      <c r="F739" s="39"/>
      <c r="G739" s="45" t="s">
        <v>304</v>
      </c>
      <c r="H739" s="42">
        <f aca="true" t="shared" si="163" ref="H739:U739">H740</f>
        <v>0</v>
      </c>
      <c r="I739" s="42">
        <f t="shared" si="163"/>
        <v>10000</v>
      </c>
      <c r="J739" s="42">
        <f t="shared" si="163"/>
        <v>10700</v>
      </c>
      <c r="K739" s="42">
        <f t="shared" si="163"/>
        <v>0</v>
      </c>
      <c r="L739" s="42">
        <f t="shared" si="163"/>
        <v>0</v>
      </c>
      <c r="M739" s="42">
        <f t="shared" si="163"/>
        <v>0</v>
      </c>
      <c r="N739" s="42">
        <f t="shared" si="163"/>
        <v>37020</v>
      </c>
      <c r="O739" s="42"/>
      <c r="P739" s="42"/>
      <c r="Q739" s="42">
        <v>11452</v>
      </c>
      <c r="R739" s="35">
        <f t="shared" si="157"/>
        <v>30.93462992976769</v>
      </c>
      <c r="S739" s="42"/>
      <c r="T739" s="42">
        <f t="shared" si="163"/>
        <v>12100</v>
      </c>
      <c r="U739" s="42">
        <f t="shared" si="163"/>
        <v>12400</v>
      </c>
      <c r="V739" s="46"/>
      <c r="W739" s="37"/>
      <c r="X739" s="37"/>
    </row>
    <row r="740" spans="1:24" ht="12.75">
      <c r="A740" s="39"/>
      <c r="B740" s="40"/>
      <c r="C740" s="39"/>
      <c r="D740" s="41"/>
      <c r="E740" s="39"/>
      <c r="F740" s="39">
        <v>149</v>
      </c>
      <c r="G740" s="39" t="s">
        <v>43</v>
      </c>
      <c r="H740" s="42"/>
      <c r="I740" s="42">
        <v>10000</v>
      </c>
      <c r="J740" s="42">
        <f>I740*1.07</f>
        <v>10700</v>
      </c>
      <c r="K740" s="42"/>
      <c r="L740" s="42"/>
      <c r="M740" s="42"/>
      <c r="N740" s="42">
        <f>17020+20000</f>
        <v>37020</v>
      </c>
      <c r="O740" s="42"/>
      <c r="P740" s="42"/>
      <c r="Q740" s="42">
        <v>11452</v>
      </c>
      <c r="R740" s="35">
        <f t="shared" si="157"/>
        <v>30.93462992976769</v>
      </c>
      <c r="S740" s="42"/>
      <c r="T740" s="47">
        <v>12100</v>
      </c>
      <c r="U740" s="47">
        <v>12400</v>
      </c>
      <c r="V740" s="61"/>
      <c r="W740" s="37"/>
      <c r="X740" s="37"/>
    </row>
    <row r="741" spans="1:24" ht="25.5">
      <c r="A741" s="39"/>
      <c r="B741" s="40"/>
      <c r="C741" s="39"/>
      <c r="D741" s="41">
        <v>3</v>
      </c>
      <c r="E741" s="39" t="s">
        <v>67</v>
      </c>
      <c r="F741" s="39"/>
      <c r="G741" s="39" t="s">
        <v>305</v>
      </c>
      <c r="H741" s="42">
        <f>H742</f>
        <v>0</v>
      </c>
      <c r="I741" s="42">
        <f>I742</f>
        <v>0</v>
      </c>
      <c r="J741" s="42">
        <f>J742</f>
        <v>0</v>
      </c>
      <c r="K741" s="42"/>
      <c r="L741" s="42"/>
      <c r="M741" s="42"/>
      <c r="N741" s="42">
        <f>N742</f>
        <v>0</v>
      </c>
      <c r="O741" s="42"/>
      <c r="P741" s="42"/>
      <c r="Q741" s="42"/>
      <c r="R741" s="35" t="e">
        <f t="shared" si="157"/>
        <v>#DIV/0!</v>
      </c>
      <c r="S741" s="42"/>
      <c r="T741" s="47"/>
      <c r="U741" s="35"/>
      <c r="V741" s="61"/>
      <c r="W741" s="37"/>
      <c r="X741" s="37"/>
    </row>
    <row r="742" spans="1:24" ht="12.75">
      <c r="A742" s="39"/>
      <c r="B742" s="40"/>
      <c r="C742" s="39"/>
      <c r="D742" s="41"/>
      <c r="E742" s="39"/>
      <c r="F742" s="39">
        <v>149</v>
      </c>
      <c r="G742" s="39" t="s">
        <v>43</v>
      </c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35" t="e">
        <f t="shared" si="157"/>
        <v>#DIV/0!</v>
      </c>
      <c r="S742" s="42"/>
      <c r="T742" s="47"/>
      <c r="U742" s="35"/>
      <c r="V742" s="61"/>
      <c r="W742" s="37"/>
      <c r="X742" s="37"/>
    </row>
    <row r="743" spans="1:24" ht="12.75">
      <c r="A743" s="39">
        <v>12</v>
      </c>
      <c r="B743" s="40"/>
      <c r="C743" s="39"/>
      <c r="D743" s="41"/>
      <c r="E743" s="39"/>
      <c r="F743" s="39"/>
      <c r="G743" s="34" t="s">
        <v>306</v>
      </c>
      <c r="H743" s="42" t="e">
        <f aca="true" t="shared" si="164" ref="H743:U743">H744+H755</f>
        <v>#REF!</v>
      </c>
      <c r="I743" s="42">
        <f t="shared" si="164"/>
        <v>148812.4</v>
      </c>
      <c r="J743" s="42">
        <f t="shared" si="164"/>
        <v>213429.258</v>
      </c>
      <c r="K743" s="42"/>
      <c r="L743" s="42"/>
      <c r="M743" s="42"/>
      <c r="N743" s="42">
        <f t="shared" si="164"/>
        <v>210677.83606</v>
      </c>
      <c r="O743" s="42"/>
      <c r="P743" s="42"/>
      <c r="Q743" s="42">
        <f t="shared" si="164"/>
        <v>113358.2845842</v>
      </c>
      <c r="R743" s="35">
        <f t="shared" si="157"/>
        <v>53.806459523305584</v>
      </c>
      <c r="S743" s="42"/>
      <c r="T743" s="42">
        <f t="shared" si="164"/>
        <v>1032178.947350936</v>
      </c>
      <c r="U743" s="42">
        <f t="shared" si="164"/>
        <v>1199493.103139011</v>
      </c>
      <c r="V743" s="61"/>
      <c r="W743" s="37">
        <f>J743/I743*100</f>
        <v>143.42168932158881</v>
      </c>
      <c r="X743" s="37">
        <f>N743/J743*100</f>
        <v>98.7108506276117</v>
      </c>
    </row>
    <row r="744" spans="1:24" ht="25.5">
      <c r="A744" s="39"/>
      <c r="B744" s="40" t="s">
        <v>28</v>
      </c>
      <c r="C744" s="39"/>
      <c r="D744" s="41"/>
      <c r="E744" s="39"/>
      <c r="F744" s="39"/>
      <c r="G744" s="39" t="s">
        <v>307</v>
      </c>
      <c r="H744" s="42" t="e">
        <f aca="true" t="shared" si="165" ref="H744:U744">H745</f>
        <v>#REF!</v>
      </c>
      <c r="I744" s="42">
        <f t="shared" si="165"/>
        <v>142543</v>
      </c>
      <c r="J744" s="42">
        <f t="shared" si="165"/>
        <v>206721</v>
      </c>
      <c r="K744" s="42"/>
      <c r="L744" s="42"/>
      <c r="M744" s="42"/>
      <c r="N744" s="42">
        <f t="shared" si="165"/>
        <v>203500</v>
      </c>
      <c r="O744" s="42"/>
      <c r="P744" s="42"/>
      <c r="Q744" s="42">
        <f t="shared" si="165"/>
        <v>105678</v>
      </c>
      <c r="R744" s="35">
        <f t="shared" si="157"/>
        <v>51.930221130221135</v>
      </c>
      <c r="S744" s="42"/>
      <c r="T744" s="42">
        <f t="shared" si="165"/>
        <v>1023884.24</v>
      </c>
      <c r="U744" s="42">
        <f t="shared" si="165"/>
        <v>1190534.8192</v>
      </c>
      <c r="V744" s="61"/>
      <c r="W744" s="37">
        <f>J744/I744*100</f>
        <v>145.02360691159862</v>
      </c>
      <c r="X744" s="37">
        <f>N744/J744*100</f>
        <v>98.44186125260617</v>
      </c>
    </row>
    <row r="745" spans="1:24" ht="38.25">
      <c r="A745" s="39"/>
      <c r="B745" s="40"/>
      <c r="C745" s="39">
        <v>458</v>
      </c>
      <c r="D745" s="41"/>
      <c r="E745" s="39"/>
      <c r="F745" s="39"/>
      <c r="G745" s="39" t="s">
        <v>97</v>
      </c>
      <c r="H745" s="42" t="e">
        <f>H746+H751+#REF!</f>
        <v>#REF!</v>
      </c>
      <c r="I745" s="42">
        <f>I746+I751</f>
        <v>142543</v>
      </c>
      <c r="J745" s="42">
        <f>J746+J751</f>
        <v>206721</v>
      </c>
      <c r="K745" s="42"/>
      <c r="L745" s="42"/>
      <c r="M745" s="42"/>
      <c r="N745" s="42">
        <f>N746+N751</f>
        <v>203500</v>
      </c>
      <c r="O745" s="42"/>
      <c r="P745" s="42"/>
      <c r="Q745" s="42">
        <f>Q746+Q751</f>
        <v>105678</v>
      </c>
      <c r="R745" s="35">
        <f t="shared" si="157"/>
        <v>51.930221130221135</v>
      </c>
      <c r="S745" s="42"/>
      <c r="T745" s="42">
        <f>T746+T751</f>
        <v>1023884.24</v>
      </c>
      <c r="U745" s="42">
        <f>U746+U751</f>
        <v>1190534.8192</v>
      </c>
      <c r="V745" s="61"/>
      <c r="W745" s="37">
        <f>J745/I745*100</f>
        <v>145.02360691159862</v>
      </c>
      <c r="X745" s="37">
        <f>N745/J745*100</f>
        <v>98.44186125260617</v>
      </c>
    </row>
    <row r="746" spans="1:24" ht="12.75">
      <c r="A746" s="39"/>
      <c r="B746" s="40"/>
      <c r="C746" s="39"/>
      <c r="D746" s="41" t="s">
        <v>308</v>
      </c>
      <c r="E746" s="39"/>
      <c r="F746" s="39"/>
      <c r="G746" s="66" t="s">
        <v>309</v>
      </c>
      <c r="H746" s="42"/>
      <c r="I746" s="42"/>
      <c r="J746" s="42">
        <f>J747</f>
        <v>20000</v>
      </c>
      <c r="K746" s="42"/>
      <c r="L746" s="42"/>
      <c r="M746" s="42"/>
      <c r="N746" s="42"/>
      <c r="O746" s="42"/>
      <c r="P746" s="42"/>
      <c r="Q746" s="42"/>
      <c r="R746" s="35" t="e">
        <f t="shared" si="157"/>
        <v>#DIV/0!</v>
      </c>
      <c r="S746" s="42"/>
      <c r="T746" s="47"/>
      <c r="U746" s="35"/>
      <c r="V746" s="61"/>
      <c r="W746" s="37"/>
      <c r="X746" s="37"/>
    </row>
    <row r="747" spans="1:24" ht="12.75">
      <c r="A747" s="39"/>
      <c r="B747" s="40"/>
      <c r="C747" s="39"/>
      <c r="D747" s="41"/>
      <c r="E747" s="41">
        <v>15</v>
      </c>
      <c r="F747" s="39"/>
      <c r="G747" s="67" t="s">
        <v>107</v>
      </c>
      <c r="H747" s="42"/>
      <c r="I747" s="42"/>
      <c r="J747" s="42">
        <f>SUM(J748:J750)</f>
        <v>20000</v>
      </c>
      <c r="K747" s="42"/>
      <c r="L747" s="42"/>
      <c r="M747" s="42"/>
      <c r="N747" s="42"/>
      <c r="O747" s="42"/>
      <c r="P747" s="42"/>
      <c r="Q747" s="42"/>
      <c r="R747" s="35" t="e">
        <f t="shared" si="157"/>
        <v>#DIV/0!</v>
      </c>
      <c r="S747" s="42"/>
      <c r="T747" s="47"/>
      <c r="U747" s="35"/>
      <c r="V747" s="61"/>
      <c r="W747" s="37"/>
      <c r="X747" s="37"/>
    </row>
    <row r="748" spans="1:24" ht="12.75">
      <c r="A748" s="39"/>
      <c r="B748" s="40"/>
      <c r="C748" s="39"/>
      <c r="D748" s="41"/>
      <c r="E748" s="39"/>
      <c r="F748" s="39">
        <v>149</v>
      </c>
      <c r="G748" s="39" t="s">
        <v>43</v>
      </c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35" t="e">
        <f t="shared" si="157"/>
        <v>#DIV/0!</v>
      </c>
      <c r="S748" s="42"/>
      <c r="T748" s="47"/>
      <c r="U748" s="35"/>
      <c r="V748" s="61"/>
      <c r="W748" s="37"/>
      <c r="X748" s="37"/>
    </row>
    <row r="749" spans="1:24" ht="12.75">
      <c r="A749" s="39"/>
      <c r="B749" s="40"/>
      <c r="C749" s="39"/>
      <c r="D749" s="41"/>
      <c r="E749" s="39"/>
      <c r="F749" s="39">
        <v>422</v>
      </c>
      <c r="G749" s="66" t="s">
        <v>310</v>
      </c>
      <c r="H749" s="42"/>
      <c r="I749" s="42"/>
      <c r="J749" s="42">
        <v>20000</v>
      </c>
      <c r="K749" s="42"/>
      <c r="L749" s="42"/>
      <c r="M749" s="42"/>
      <c r="N749" s="42"/>
      <c r="O749" s="42"/>
      <c r="P749" s="42"/>
      <c r="Q749" s="42"/>
      <c r="R749" s="35" t="e">
        <f t="shared" si="157"/>
        <v>#DIV/0!</v>
      </c>
      <c r="S749" s="42"/>
      <c r="T749" s="47"/>
      <c r="U749" s="35"/>
      <c r="V749" s="61"/>
      <c r="W749" s="37"/>
      <c r="X749" s="37"/>
    </row>
    <row r="750" spans="1:24" ht="12.75">
      <c r="A750" s="39"/>
      <c r="B750" s="40"/>
      <c r="C750" s="39"/>
      <c r="D750" s="41"/>
      <c r="E750" s="39"/>
      <c r="F750" s="39">
        <v>432</v>
      </c>
      <c r="G750" s="39" t="s">
        <v>311</v>
      </c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35" t="e">
        <f t="shared" si="157"/>
        <v>#DIV/0!</v>
      </c>
      <c r="S750" s="42"/>
      <c r="T750" s="47"/>
      <c r="U750" s="35"/>
      <c r="V750" s="61"/>
      <c r="W750" s="37"/>
      <c r="X750" s="37"/>
    </row>
    <row r="751" spans="1:24" ht="25.5">
      <c r="A751" s="39"/>
      <c r="B751" s="40"/>
      <c r="C751" s="39"/>
      <c r="D751" s="41">
        <v>23</v>
      </c>
      <c r="E751" s="39"/>
      <c r="F751" s="39"/>
      <c r="G751" s="45" t="s">
        <v>312</v>
      </c>
      <c r="H751" s="42">
        <f>H753+H754</f>
        <v>111355</v>
      </c>
      <c r="I751" s="42">
        <f>I753+I754</f>
        <v>142543</v>
      </c>
      <c r="J751" s="42">
        <f>J752</f>
        <v>186721</v>
      </c>
      <c r="K751" s="42"/>
      <c r="L751" s="42">
        <v>163197</v>
      </c>
      <c r="M751" s="42"/>
      <c r="N751" s="42">
        <f>N753+N754</f>
        <v>203500</v>
      </c>
      <c r="O751" s="42">
        <f>O753+O754</f>
        <v>0</v>
      </c>
      <c r="P751" s="42"/>
      <c r="Q751" s="42">
        <f>Q753+Q754</f>
        <v>105678</v>
      </c>
      <c r="R751" s="35">
        <f t="shared" si="157"/>
        <v>51.930221130221135</v>
      </c>
      <c r="S751" s="42"/>
      <c r="T751" s="42">
        <f>T753+T754+585893-68216+392075</f>
        <v>1023884.24</v>
      </c>
      <c r="U751" s="42">
        <f>U753+U754+578407-61135+450000+100000</f>
        <v>1190534.8192</v>
      </c>
      <c r="V751" s="61"/>
      <c r="W751" s="37">
        <f>J751/I751*100</f>
        <v>130.9927530639877</v>
      </c>
      <c r="X751" s="37">
        <f>N751/J751*100</f>
        <v>108.9861343930249</v>
      </c>
    </row>
    <row r="752" spans="1:24" ht="25.5">
      <c r="A752" s="39"/>
      <c r="B752" s="40"/>
      <c r="C752" s="39"/>
      <c r="D752" s="41"/>
      <c r="E752" s="41">
        <v>15</v>
      </c>
      <c r="F752" s="74"/>
      <c r="G752" s="39" t="s">
        <v>216</v>
      </c>
      <c r="H752" s="42"/>
      <c r="I752" s="42"/>
      <c r="J752" s="42">
        <f>J753</f>
        <v>186721</v>
      </c>
      <c r="K752" s="42">
        <f aca="true" t="shared" si="166" ref="K752:U752">K753</f>
        <v>0</v>
      </c>
      <c r="L752" s="42">
        <f t="shared" si="166"/>
        <v>0</v>
      </c>
      <c r="M752" s="42">
        <f t="shared" si="166"/>
        <v>0</v>
      </c>
      <c r="N752" s="42">
        <f t="shared" si="166"/>
        <v>203500</v>
      </c>
      <c r="O752" s="42">
        <f t="shared" si="166"/>
        <v>0</v>
      </c>
      <c r="P752" s="42"/>
      <c r="Q752" s="42">
        <f t="shared" si="166"/>
        <v>105678</v>
      </c>
      <c r="R752" s="35">
        <f t="shared" si="157"/>
        <v>51.930221130221135</v>
      </c>
      <c r="S752" s="42"/>
      <c r="T752" s="42">
        <f t="shared" si="166"/>
        <v>114132.24</v>
      </c>
      <c r="U752" s="42">
        <f t="shared" si="166"/>
        <v>123262.81920000001</v>
      </c>
      <c r="V752" s="61"/>
      <c r="W752" s="37"/>
      <c r="X752" s="37"/>
    </row>
    <row r="753" spans="1:24" ht="12.75">
      <c r="A753" s="39"/>
      <c r="B753" s="40"/>
      <c r="C753" s="39"/>
      <c r="D753" s="41"/>
      <c r="E753" s="39"/>
      <c r="F753" s="39">
        <v>149</v>
      </c>
      <c r="G753" s="39" t="s">
        <v>43</v>
      </c>
      <c r="H753" s="42">
        <v>102355</v>
      </c>
      <c r="I753" s="42">
        <v>142543</v>
      </c>
      <c r="J753" s="42">
        <v>186721</v>
      </c>
      <c r="K753" s="42"/>
      <c r="L753" s="42"/>
      <c r="M753" s="42"/>
      <c r="N753" s="42">
        <v>203500</v>
      </c>
      <c r="O753" s="42"/>
      <c r="P753" s="42"/>
      <c r="Q753" s="42">
        <f>N753*1.07-112067</f>
        <v>105678</v>
      </c>
      <c r="R753" s="35">
        <f t="shared" si="157"/>
        <v>51.930221130221135</v>
      </c>
      <c r="S753" s="42"/>
      <c r="T753" s="47">
        <f>Q753*1.08</f>
        <v>114132.24</v>
      </c>
      <c r="U753" s="47">
        <f>T753*1.08</f>
        <v>123262.81920000001</v>
      </c>
      <c r="V753" s="61"/>
      <c r="W753" s="37">
        <f>J753/I753*100</f>
        <v>130.9927530639877</v>
      </c>
      <c r="X753" s="37">
        <f>N753/J753*100</f>
        <v>108.9861343930249</v>
      </c>
    </row>
    <row r="754" spans="1:24" ht="12.75">
      <c r="A754" s="39"/>
      <c r="B754" s="40"/>
      <c r="C754" s="39"/>
      <c r="D754" s="41"/>
      <c r="E754" s="39"/>
      <c r="F754" s="39">
        <v>432</v>
      </c>
      <c r="G754" s="39" t="s">
        <v>311</v>
      </c>
      <c r="H754" s="42">
        <v>9000</v>
      </c>
      <c r="I754" s="42"/>
      <c r="J754" s="42"/>
      <c r="K754" s="42"/>
      <c r="L754" s="42"/>
      <c r="M754" s="42"/>
      <c r="N754" s="42"/>
      <c r="O754" s="42"/>
      <c r="P754" s="42"/>
      <c r="Q754" s="42"/>
      <c r="R754" s="35" t="e">
        <f t="shared" si="157"/>
        <v>#DIV/0!</v>
      </c>
      <c r="S754" s="42"/>
      <c r="T754" s="47">
        <f aca="true" t="shared" si="167" ref="T754:T760">Q754*1.07</f>
        <v>0</v>
      </c>
      <c r="U754" s="35"/>
      <c r="V754" s="61"/>
      <c r="W754" s="37" t="e">
        <f>J754/I754*100</f>
        <v>#DIV/0!</v>
      </c>
      <c r="X754" s="37" t="e">
        <f>N754/J754*100</f>
        <v>#DIV/0!</v>
      </c>
    </row>
    <row r="755" spans="1:24" ht="25.5">
      <c r="A755" s="39"/>
      <c r="B755" s="40" t="s">
        <v>134</v>
      </c>
      <c r="C755" s="39"/>
      <c r="D755" s="41"/>
      <c r="E755" s="39"/>
      <c r="F755" s="39"/>
      <c r="G755" s="39" t="s">
        <v>313</v>
      </c>
      <c r="H755" s="42">
        <f aca="true" t="shared" si="168" ref="H755:U755">H756</f>
        <v>5805</v>
      </c>
      <c r="I755" s="42">
        <f t="shared" si="168"/>
        <v>6269.4</v>
      </c>
      <c r="J755" s="42">
        <f t="shared" si="168"/>
        <v>6708.258</v>
      </c>
      <c r="K755" s="42"/>
      <c r="L755" s="42"/>
      <c r="M755" s="42"/>
      <c r="N755" s="42">
        <f t="shared" si="168"/>
        <v>7177.83606</v>
      </c>
      <c r="O755" s="42"/>
      <c r="P755" s="42"/>
      <c r="Q755" s="42">
        <f t="shared" si="168"/>
        <v>7680.2845842</v>
      </c>
      <c r="R755" s="35">
        <f t="shared" si="157"/>
        <v>107</v>
      </c>
      <c r="S755" s="42"/>
      <c r="T755" s="42">
        <f t="shared" si="168"/>
        <v>8294.707350936</v>
      </c>
      <c r="U755" s="42">
        <f t="shared" si="168"/>
        <v>8958.28393901088</v>
      </c>
      <c r="V755" s="61"/>
      <c r="W755" s="37">
        <f>J755/I755*100</f>
        <v>107</v>
      </c>
      <c r="X755" s="37">
        <f>N755/J755*100</f>
        <v>107</v>
      </c>
    </row>
    <row r="756" spans="1:24" ht="38.25">
      <c r="A756" s="39"/>
      <c r="B756" s="40"/>
      <c r="C756" s="39">
        <v>458</v>
      </c>
      <c r="D756" s="41"/>
      <c r="E756" s="39"/>
      <c r="F756" s="39"/>
      <c r="G756" s="39" t="s">
        <v>97</v>
      </c>
      <c r="H756" s="42">
        <f>H761</f>
        <v>5805</v>
      </c>
      <c r="I756" s="42">
        <f>I761+I757+I759</f>
        <v>6269.4</v>
      </c>
      <c r="J756" s="42">
        <f>J761</f>
        <v>6708.258</v>
      </c>
      <c r="K756" s="42"/>
      <c r="L756" s="42"/>
      <c r="M756" s="42"/>
      <c r="N756" s="42">
        <f>N761</f>
        <v>7177.83606</v>
      </c>
      <c r="O756" s="42"/>
      <c r="P756" s="42"/>
      <c r="Q756" s="42">
        <f>Q761</f>
        <v>7680.2845842</v>
      </c>
      <c r="R756" s="35">
        <f t="shared" si="157"/>
        <v>107</v>
      </c>
      <c r="S756" s="42"/>
      <c r="T756" s="42">
        <f>T761</f>
        <v>8294.707350936</v>
      </c>
      <c r="U756" s="42">
        <f>U761</f>
        <v>8958.28393901088</v>
      </c>
      <c r="V756" s="61"/>
      <c r="W756" s="37">
        <f>J756/I756*100</f>
        <v>107</v>
      </c>
      <c r="X756" s="37">
        <f>N756/J756*100</f>
        <v>107</v>
      </c>
    </row>
    <row r="757" spans="1:24" ht="51">
      <c r="A757" s="39"/>
      <c r="B757" s="40"/>
      <c r="C757" s="39"/>
      <c r="D757" s="41">
        <v>8</v>
      </c>
      <c r="E757" s="39"/>
      <c r="F757" s="39"/>
      <c r="G757" s="39" t="s">
        <v>314</v>
      </c>
      <c r="H757" s="42"/>
      <c r="I757" s="42">
        <f>I758</f>
        <v>0</v>
      </c>
      <c r="J757" s="42"/>
      <c r="K757" s="42"/>
      <c r="L757" s="42"/>
      <c r="M757" s="42"/>
      <c r="N757" s="42"/>
      <c r="O757" s="42"/>
      <c r="P757" s="42"/>
      <c r="Q757" s="42"/>
      <c r="R757" s="35" t="e">
        <f t="shared" si="157"/>
        <v>#DIV/0!</v>
      </c>
      <c r="S757" s="42"/>
      <c r="T757" s="47">
        <f t="shared" si="167"/>
        <v>0</v>
      </c>
      <c r="U757" s="35"/>
      <c r="V757" s="61"/>
      <c r="W757" s="37"/>
      <c r="X757" s="37"/>
    </row>
    <row r="758" spans="1:24" ht="12.75">
      <c r="A758" s="39"/>
      <c r="B758" s="40"/>
      <c r="C758" s="39"/>
      <c r="D758" s="41"/>
      <c r="E758" s="39"/>
      <c r="F758" s="39">
        <v>27</v>
      </c>
      <c r="G758" s="39" t="s">
        <v>105</v>
      </c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35" t="e">
        <f t="shared" si="157"/>
        <v>#DIV/0!</v>
      </c>
      <c r="S758" s="42"/>
      <c r="T758" s="47">
        <f t="shared" si="167"/>
        <v>0</v>
      </c>
      <c r="U758" s="35"/>
      <c r="V758" s="61"/>
      <c r="W758" s="37"/>
      <c r="X758" s="37"/>
    </row>
    <row r="759" spans="1:24" ht="51">
      <c r="A759" s="39"/>
      <c r="B759" s="40"/>
      <c r="C759" s="39"/>
      <c r="D759" s="41">
        <v>9</v>
      </c>
      <c r="E759" s="39"/>
      <c r="F759" s="39"/>
      <c r="G759" s="39" t="s">
        <v>315</v>
      </c>
      <c r="H759" s="42"/>
      <c r="I759" s="42">
        <f>I760</f>
        <v>0</v>
      </c>
      <c r="J759" s="42"/>
      <c r="K759" s="42"/>
      <c r="L759" s="42"/>
      <c r="M759" s="42"/>
      <c r="N759" s="42"/>
      <c r="O759" s="42"/>
      <c r="P759" s="42"/>
      <c r="Q759" s="42"/>
      <c r="R759" s="35" t="e">
        <f t="shared" si="157"/>
        <v>#DIV/0!</v>
      </c>
      <c r="S759" s="42"/>
      <c r="T759" s="47">
        <f t="shared" si="167"/>
        <v>0</v>
      </c>
      <c r="U759" s="35"/>
      <c r="V759" s="61"/>
      <c r="W759" s="37"/>
      <c r="X759" s="37"/>
    </row>
    <row r="760" spans="1:24" ht="12.75">
      <c r="A760" s="39"/>
      <c r="B760" s="40"/>
      <c r="C760" s="39"/>
      <c r="D760" s="41"/>
      <c r="E760" s="39"/>
      <c r="F760" s="39">
        <v>27</v>
      </c>
      <c r="G760" s="39" t="s">
        <v>105</v>
      </c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35" t="e">
        <f t="shared" si="157"/>
        <v>#DIV/0!</v>
      </c>
      <c r="S760" s="42"/>
      <c r="T760" s="47">
        <f t="shared" si="167"/>
        <v>0</v>
      </c>
      <c r="U760" s="35"/>
      <c r="V760" s="61"/>
      <c r="W760" s="37"/>
      <c r="X760" s="37"/>
    </row>
    <row r="761" spans="1:24" ht="38.25">
      <c r="A761" s="39"/>
      <c r="B761" s="40"/>
      <c r="C761" s="39"/>
      <c r="D761" s="41">
        <v>24</v>
      </c>
      <c r="E761" s="39" t="s">
        <v>67</v>
      </c>
      <c r="F761" s="39"/>
      <c r="G761" s="45" t="s">
        <v>316</v>
      </c>
      <c r="H761" s="42">
        <f aca="true" t="shared" si="169" ref="H761:U761">H762</f>
        <v>5805</v>
      </c>
      <c r="I761" s="42">
        <f t="shared" si="169"/>
        <v>6269.4</v>
      </c>
      <c r="J761" s="42">
        <f t="shared" si="169"/>
        <v>6708.258</v>
      </c>
      <c r="K761" s="42"/>
      <c r="L761" s="42"/>
      <c r="M761" s="42"/>
      <c r="N761" s="42">
        <f t="shared" si="169"/>
        <v>7177.83606</v>
      </c>
      <c r="O761" s="42"/>
      <c r="P761" s="42"/>
      <c r="Q761" s="42">
        <f t="shared" si="169"/>
        <v>7680.2845842</v>
      </c>
      <c r="R761" s="35">
        <f t="shared" si="157"/>
        <v>107</v>
      </c>
      <c r="S761" s="42"/>
      <c r="T761" s="42">
        <f t="shared" si="169"/>
        <v>8294.707350936</v>
      </c>
      <c r="U761" s="42">
        <f t="shared" si="169"/>
        <v>8958.28393901088</v>
      </c>
      <c r="V761" s="61"/>
      <c r="W761" s="37">
        <f aca="true" t="shared" si="170" ref="W761:W790">J761/I761*100</f>
        <v>107</v>
      </c>
      <c r="X761" s="37">
        <f aca="true" t="shared" si="171" ref="X761:X767">N761/J761*100</f>
        <v>107</v>
      </c>
    </row>
    <row r="762" spans="1:24" ht="12.75">
      <c r="A762" s="39"/>
      <c r="B762" s="40"/>
      <c r="C762" s="39"/>
      <c r="D762" s="41"/>
      <c r="E762" s="39"/>
      <c r="F762" s="39">
        <v>149</v>
      </c>
      <c r="G762" s="39" t="s">
        <v>43</v>
      </c>
      <c r="H762" s="42">
        <v>5805</v>
      </c>
      <c r="I762" s="42">
        <f>H762+(H762*0.08)</f>
        <v>6269.4</v>
      </c>
      <c r="J762" s="42">
        <f>I762+(I762*0.07)</f>
        <v>6708.258</v>
      </c>
      <c r="K762" s="42"/>
      <c r="L762" s="42"/>
      <c r="M762" s="42"/>
      <c r="N762" s="42">
        <f>J762+(J762*0.07)</f>
        <v>7177.83606</v>
      </c>
      <c r="O762" s="42"/>
      <c r="P762" s="42"/>
      <c r="Q762" s="42">
        <f>N762+(N762*0.07)</f>
        <v>7680.2845842</v>
      </c>
      <c r="R762" s="35">
        <f t="shared" si="157"/>
        <v>107</v>
      </c>
      <c r="S762" s="42"/>
      <c r="T762" s="47">
        <f>Q762*1.08</f>
        <v>8294.707350936</v>
      </c>
      <c r="U762" s="47">
        <f>T762*1.08</f>
        <v>8958.28393901088</v>
      </c>
      <c r="V762" s="61"/>
      <c r="W762" s="37">
        <f t="shared" si="170"/>
        <v>107</v>
      </c>
      <c r="X762" s="37">
        <f t="shared" si="171"/>
        <v>107</v>
      </c>
    </row>
    <row r="763" spans="1:24" ht="12.75">
      <c r="A763" s="39">
        <v>13</v>
      </c>
      <c r="B763" s="40"/>
      <c r="C763" s="39"/>
      <c r="D763" s="41"/>
      <c r="E763" s="39"/>
      <c r="F763" s="39"/>
      <c r="G763" s="34" t="s">
        <v>317</v>
      </c>
      <c r="H763" s="42" t="e">
        <f aca="true" t="shared" si="172" ref="H763:U763">H764+H782</f>
        <v>#REF!</v>
      </c>
      <c r="I763" s="42">
        <f t="shared" si="172"/>
        <v>182129.03300000002</v>
      </c>
      <c r="J763" s="42">
        <f t="shared" si="172"/>
        <v>193267.09600000002</v>
      </c>
      <c r="K763" s="42"/>
      <c r="L763" s="42"/>
      <c r="M763" s="42"/>
      <c r="N763" s="42">
        <f t="shared" si="172"/>
        <v>264195.94964</v>
      </c>
      <c r="O763" s="42"/>
      <c r="P763" s="42"/>
      <c r="Q763" s="42">
        <f t="shared" si="172"/>
        <v>445771.5972748</v>
      </c>
      <c r="R763" s="35">
        <f t="shared" si="157"/>
        <v>168.72764244956045</v>
      </c>
      <c r="S763" s="42"/>
      <c r="T763" s="42">
        <f t="shared" si="172"/>
        <v>232388.612096784</v>
      </c>
      <c r="U763" s="42">
        <f t="shared" si="172"/>
        <v>335235.7881045267</v>
      </c>
      <c r="V763" s="61"/>
      <c r="W763" s="37">
        <f t="shared" si="170"/>
        <v>106.11547912847041</v>
      </c>
      <c r="X763" s="37">
        <f t="shared" si="171"/>
        <v>136.69991173251756</v>
      </c>
    </row>
    <row r="764" spans="1:28" ht="27">
      <c r="A764" s="39"/>
      <c r="B764" s="40" t="s">
        <v>219</v>
      </c>
      <c r="C764" s="39"/>
      <c r="D764" s="41"/>
      <c r="E764" s="39"/>
      <c r="F764" s="39"/>
      <c r="G764" s="39" t="s">
        <v>318</v>
      </c>
      <c r="H764" s="42" t="e">
        <f aca="true" t="shared" si="173" ref="H764:U764">H765</f>
        <v>#REF!</v>
      </c>
      <c r="I764" s="42">
        <f t="shared" si="173"/>
        <v>8543.274</v>
      </c>
      <c r="J764" s="42">
        <f t="shared" si="173"/>
        <v>9052.714</v>
      </c>
      <c r="K764" s="42"/>
      <c r="L764" s="42"/>
      <c r="M764" s="42"/>
      <c r="N764" s="42">
        <f t="shared" si="173"/>
        <v>11206.38664</v>
      </c>
      <c r="O764" s="42"/>
      <c r="P764" s="42"/>
      <c r="Q764" s="42">
        <f t="shared" si="173"/>
        <v>12159.6942748</v>
      </c>
      <c r="R764" s="35">
        <f t="shared" si="157"/>
        <v>108.50682441561734</v>
      </c>
      <c r="S764" s="42"/>
      <c r="T764" s="42">
        <f t="shared" si="173"/>
        <v>12653.521896784001</v>
      </c>
      <c r="U764" s="42">
        <f t="shared" si="173"/>
        <v>13186.85572852672</v>
      </c>
      <c r="V764" s="61"/>
      <c r="W764" s="37">
        <f t="shared" si="170"/>
        <v>105.96305350852613</v>
      </c>
      <c r="X764" s="37">
        <f t="shared" si="171"/>
        <v>123.79035325759769</v>
      </c>
      <c r="AB764" s="75"/>
    </row>
    <row r="765" spans="1:24" ht="25.5">
      <c r="A765" s="39"/>
      <c r="B765" s="40"/>
      <c r="C765" s="39">
        <v>469</v>
      </c>
      <c r="D765" s="41"/>
      <c r="E765" s="39"/>
      <c r="F765" s="39"/>
      <c r="G765" s="39" t="s">
        <v>319</v>
      </c>
      <c r="H765" s="42" t="e">
        <f aca="true" t="shared" si="174" ref="H765:U765">H766+H780</f>
        <v>#REF!</v>
      </c>
      <c r="I765" s="42">
        <f t="shared" si="174"/>
        <v>8543.274</v>
      </c>
      <c r="J765" s="42">
        <f t="shared" si="174"/>
        <v>9052.714</v>
      </c>
      <c r="K765" s="42"/>
      <c r="L765" s="42"/>
      <c r="M765" s="42"/>
      <c r="N765" s="42">
        <f t="shared" si="174"/>
        <v>11206.38664</v>
      </c>
      <c r="O765" s="42"/>
      <c r="P765" s="42"/>
      <c r="Q765" s="42">
        <f t="shared" si="174"/>
        <v>12159.6942748</v>
      </c>
      <c r="R765" s="35">
        <f t="shared" si="157"/>
        <v>108.50682441561734</v>
      </c>
      <c r="S765" s="42"/>
      <c r="T765" s="42">
        <f t="shared" si="174"/>
        <v>12653.521896784001</v>
      </c>
      <c r="U765" s="42">
        <f t="shared" si="174"/>
        <v>13186.85572852672</v>
      </c>
      <c r="V765" s="61"/>
      <c r="W765" s="37">
        <f t="shared" si="170"/>
        <v>105.96305350852613</v>
      </c>
      <c r="X765" s="37">
        <f t="shared" si="171"/>
        <v>123.79035325759769</v>
      </c>
    </row>
    <row r="766" spans="1:24" ht="51">
      <c r="A766" s="39"/>
      <c r="B766" s="40"/>
      <c r="C766" s="39"/>
      <c r="D766" s="41">
        <v>1</v>
      </c>
      <c r="E766" s="39"/>
      <c r="F766" s="39"/>
      <c r="G766" s="45" t="s">
        <v>320</v>
      </c>
      <c r="H766" s="42" t="e">
        <f>#REF!+#REF!+#REF!</f>
        <v>#REF!</v>
      </c>
      <c r="I766" s="42">
        <f>SUM(I767:I778)</f>
        <v>6199.674</v>
      </c>
      <c r="J766" s="42">
        <f>SUM(J767:J778)</f>
        <v>6545.062</v>
      </c>
      <c r="K766" s="42">
        <f>SUM(K767:K778)</f>
        <v>6545</v>
      </c>
      <c r="L766" s="42">
        <v>7220</v>
      </c>
      <c r="M766" s="42">
        <v>7233</v>
      </c>
      <c r="N766" s="42">
        <f>SUM(N767:N779)</f>
        <v>8523.199</v>
      </c>
      <c r="O766" s="42"/>
      <c r="P766" s="42"/>
      <c r="Q766" s="42">
        <f>SUM(Q767:Q778)+607</f>
        <v>9288.683500000001</v>
      </c>
      <c r="R766" s="35">
        <f t="shared" si="157"/>
        <v>108.98118769724843</v>
      </c>
      <c r="S766" s="42"/>
      <c r="T766" s="42">
        <f>SUM(T767:T778)+607</f>
        <v>9552.83026</v>
      </c>
      <c r="U766" s="42">
        <f>SUM(U767:U778)+607</f>
        <v>9838.1087608</v>
      </c>
      <c r="V766" s="61" t="s">
        <v>321</v>
      </c>
      <c r="W766" s="37">
        <f t="shared" si="170"/>
        <v>105.571067123852</v>
      </c>
      <c r="X766" s="37">
        <f t="shared" si="171"/>
        <v>130.2233500614662</v>
      </c>
    </row>
    <row r="767" spans="1:24" ht="12.75">
      <c r="A767" s="39"/>
      <c r="B767" s="40"/>
      <c r="C767" s="39"/>
      <c r="D767" s="41"/>
      <c r="E767" s="39"/>
      <c r="F767" s="39">
        <v>111</v>
      </c>
      <c r="G767" s="39" t="s">
        <v>33</v>
      </c>
      <c r="H767" s="42">
        <v>2535</v>
      </c>
      <c r="I767" s="42">
        <v>2926</v>
      </c>
      <c r="J767" s="42">
        <v>3738</v>
      </c>
      <c r="K767" s="42">
        <v>3408</v>
      </c>
      <c r="L767" s="42"/>
      <c r="M767" s="42"/>
      <c r="N767" s="42">
        <v>4251</v>
      </c>
      <c r="O767" s="42">
        <v>4251</v>
      </c>
      <c r="P767" s="42"/>
      <c r="Q767" s="42">
        <v>4251</v>
      </c>
      <c r="R767" s="35">
        <f t="shared" si="157"/>
        <v>100</v>
      </c>
      <c r="S767" s="42"/>
      <c r="T767" s="42">
        <v>4251</v>
      </c>
      <c r="U767" s="42">
        <v>4251</v>
      </c>
      <c r="V767" s="46"/>
      <c r="W767" s="37">
        <f t="shared" si="170"/>
        <v>127.7511961722488</v>
      </c>
      <c r="X767" s="37">
        <f t="shared" si="171"/>
        <v>113.7239165329053</v>
      </c>
    </row>
    <row r="768" spans="1:24" ht="12.75">
      <c r="A768" s="39"/>
      <c r="B768" s="40"/>
      <c r="C768" s="39"/>
      <c r="D768" s="41"/>
      <c r="E768" s="39"/>
      <c r="F768" s="39">
        <v>112</v>
      </c>
      <c r="G768" s="39"/>
      <c r="H768" s="42"/>
      <c r="I768" s="42"/>
      <c r="J768" s="42"/>
      <c r="K768" s="42">
        <v>318</v>
      </c>
      <c r="L768" s="42"/>
      <c r="M768" s="42"/>
      <c r="N768" s="42"/>
      <c r="O768" s="42"/>
      <c r="P768" s="42"/>
      <c r="Q768" s="42"/>
      <c r="R768" s="35" t="e">
        <f t="shared" si="157"/>
        <v>#DIV/0!</v>
      </c>
      <c r="S768" s="42"/>
      <c r="T768" s="42"/>
      <c r="U768" s="35"/>
      <c r="V768" s="46"/>
      <c r="W768" s="37"/>
      <c r="X768" s="37"/>
    </row>
    <row r="769" spans="1:24" ht="12.75">
      <c r="A769" s="39"/>
      <c r="B769" s="40"/>
      <c r="C769" s="39"/>
      <c r="D769" s="41"/>
      <c r="E769" s="39"/>
      <c r="F769" s="39">
        <v>113</v>
      </c>
      <c r="G769" s="39" t="s">
        <v>35</v>
      </c>
      <c r="H769" s="42">
        <v>423</v>
      </c>
      <c r="I769" s="42">
        <v>542</v>
      </c>
      <c r="J769" s="42">
        <v>704</v>
      </c>
      <c r="K769" s="42">
        <v>704</v>
      </c>
      <c r="L769" s="42"/>
      <c r="M769" s="42"/>
      <c r="N769" s="42">
        <v>708</v>
      </c>
      <c r="O769" s="42"/>
      <c r="P769" s="42"/>
      <c r="Q769" s="42">
        <f>N769</f>
        <v>708</v>
      </c>
      <c r="R769" s="35">
        <f t="shared" si="157"/>
        <v>100</v>
      </c>
      <c r="S769" s="42"/>
      <c r="T769" s="42">
        <f>Q769</f>
        <v>708</v>
      </c>
      <c r="U769" s="42">
        <f>T769</f>
        <v>708</v>
      </c>
      <c r="V769" s="61"/>
      <c r="W769" s="37">
        <f t="shared" si="170"/>
        <v>129.88929889298893</v>
      </c>
      <c r="X769" s="37">
        <f aca="true" t="shared" si="175" ref="X769:X776">N769/J769*100</f>
        <v>100.56818181818181</v>
      </c>
    </row>
    <row r="770" spans="1:24" ht="12.75">
      <c r="A770" s="39"/>
      <c r="B770" s="40"/>
      <c r="C770" s="39"/>
      <c r="D770" s="41"/>
      <c r="E770" s="39"/>
      <c r="F770" s="39">
        <v>121</v>
      </c>
      <c r="G770" s="39" t="s">
        <v>36</v>
      </c>
      <c r="H770" s="42">
        <v>159</v>
      </c>
      <c r="I770" s="42">
        <f>(I767-(I767*0.1))*0.06</f>
        <v>158.004</v>
      </c>
      <c r="J770" s="42">
        <f>(J767-(J767*0.1))*0.06</f>
        <v>201.85199999999998</v>
      </c>
      <c r="K770" s="42">
        <v>245</v>
      </c>
      <c r="L770" s="42"/>
      <c r="M770" s="42"/>
      <c r="N770" s="42">
        <f>(N767-(N767*0.1))*0.06</f>
        <v>229.554</v>
      </c>
      <c r="O770" s="42"/>
      <c r="P770" s="42"/>
      <c r="Q770" s="42">
        <f>(Q767-(Q767*0.1))*0.06</f>
        <v>229.554</v>
      </c>
      <c r="R770" s="35">
        <f t="shared" si="157"/>
        <v>100</v>
      </c>
      <c r="S770" s="42"/>
      <c r="T770" s="42">
        <f>(T767-(T767*0.1))*0.06</f>
        <v>229.554</v>
      </c>
      <c r="U770" s="42">
        <f>(U767-(U767*0.1))*0.06</f>
        <v>229.554</v>
      </c>
      <c r="V770" s="61"/>
      <c r="W770" s="37">
        <f t="shared" si="170"/>
        <v>127.7511961722488</v>
      </c>
      <c r="X770" s="37">
        <f t="shared" si="175"/>
        <v>113.72391653290532</v>
      </c>
    </row>
    <row r="771" spans="1:24" ht="25.5">
      <c r="A771" s="39"/>
      <c r="B771" s="40"/>
      <c r="C771" s="39"/>
      <c r="D771" s="41"/>
      <c r="E771" s="39"/>
      <c r="F771" s="39">
        <v>122</v>
      </c>
      <c r="G771" s="39" t="s">
        <v>37</v>
      </c>
      <c r="H771" s="42">
        <v>92</v>
      </c>
      <c r="I771" s="42">
        <f>(I767-(I767*0.1))*0.05</f>
        <v>131.67000000000002</v>
      </c>
      <c r="J771" s="42">
        <f>(J767-(J767*0.1))*0.05</f>
        <v>168.21</v>
      </c>
      <c r="K771" s="42">
        <v>168</v>
      </c>
      <c r="L771" s="42"/>
      <c r="M771" s="42"/>
      <c r="N771" s="42">
        <f>(N767-(N767*0.1))*0.05</f>
        <v>191.29500000000002</v>
      </c>
      <c r="O771" s="42"/>
      <c r="P771" s="42"/>
      <c r="Q771" s="42">
        <f>(Q767-(Q767*0.1))*0.05</f>
        <v>191.29500000000002</v>
      </c>
      <c r="R771" s="35">
        <f t="shared" si="157"/>
        <v>100</v>
      </c>
      <c r="S771" s="42"/>
      <c r="T771" s="42">
        <f>(T767-(T767*0.1))*0.05</f>
        <v>191.29500000000002</v>
      </c>
      <c r="U771" s="42">
        <f>(U767-(U767*0.1))*0.05</f>
        <v>191.29500000000002</v>
      </c>
      <c r="V771" s="61"/>
      <c r="W771" s="37">
        <f t="shared" si="170"/>
        <v>127.7511961722488</v>
      </c>
      <c r="X771" s="37">
        <f t="shared" si="175"/>
        <v>113.7239165329053</v>
      </c>
    </row>
    <row r="772" spans="1:24" ht="38.25">
      <c r="A772" s="39"/>
      <c r="B772" s="40"/>
      <c r="C772" s="39"/>
      <c r="D772" s="41"/>
      <c r="E772" s="39"/>
      <c r="F772" s="39">
        <v>125</v>
      </c>
      <c r="G772" s="39" t="s">
        <v>38</v>
      </c>
      <c r="H772" s="42">
        <v>6</v>
      </c>
      <c r="I772" s="42">
        <v>7</v>
      </c>
      <c r="J772" s="42"/>
      <c r="K772" s="42"/>
      <c r="L772" s="42"/>
      <c r="M772" s="42"/>
      <c r="N772" s="42">
        <f>J772+(J772*0.07)</f>
        <v>0</v>
      </c>
      <c r="O772" s="42"/>
      <c r="P772" s="42"/>
      <c r="Q772" s="42">
        <f aca="true" t="shared" si="176" ref="Q772:Q777">N772+(N772*0.07)</f>
        <v>0</v>
      </c>
      <c r="R772" s="35" t="e">
        <f t="shared" si="157"/>
        <v>#DIV/0!</v>
      </c>
      <c r="S772" s="42"/>
      <c r="T772" s="47"/>
      <c r="U772" s="35"/>
      <c r="V772" s="61"/>
      <c r="W772" s="37">
        <f t="shared" si="170"/>
        <v>0</v>
      </c>
      <c r="X772" s="37" t="e">
        <f t="shared" si="175"/>
        <v>#DIV/0!</v>
      </c>
    </row>
    <row r="773" spans="1:24" ht="12.75">
      <c r="A773" s="39"/>
      <c r="B773" s="40"/>
      <c r="C773" s="39"/>
      <c r="D773" s="41"/>
      <c r="E773" s="39"/>
      <c r="F773" s="39">
        <v>139</v>
      </c>
      <c r="G773" s="39" t="s">
        <v>39</v>
      </c>
      <c r="H773" s="42">
        <v>1070</v>
      </c>
      <c r="I773" s="42">
        <v>1150</v>
      </c>
      <c r="J773" s="42">
        <v>747</v>
      </c>
      <c r="K773" s="42">
        <v>612</v>
      </c>
      <c r="L773" s="42"/>
      <c r="M773" s="42"/>
      <c r="N773" s="42">
        <v>753</v>
      </c>
      <c r="O773" s="42"/>
      <c r="P773" s="42"/>
      <c r="Q773" s="42">
        <f>N773+(N773*0.07)+8</f>
        <v>813.71</v>
      </c>
      <c r="R773" s="35">
        <f t="shared" si="157"/>
        <v>108.06241699867198</v>
      </c>
      <c r="S773" s="42"/>
      <c r="T773" s="47">
        <f aca="true" t="shared" si="177" ref="T773:T778">Q773*1.08</f>
        <v>878.8068000000001</v>
      </c>
      <c r="U773" s="47">
        <f>T773*1.08</f>
        <v>949.1113440000001</v>
      </c>
      <c r="V773" s="61"/>
      <c r="W773" s="37">
        <f t="shared" si="170"/>
        <v>64.95652173913044</v>
      </c>
      <c r="X773" s="37">
        <f t="shared" si="175"/>
        <v>100.80321285140563</v>
      </c>
    </row>
    <row r="774" spans="1:24" ht="12.75">
      <c r="A774" s="39"/>
      <c r="B774" s="40"/>
      <c r="C774" s="39"/>
      <c r="D774" s="41"/>
      <c r="E774" s="39"/>
      <c r="F774" s="39">
        <v>142</v>
      </c>
      <c r="G774" s="39" t="s">
        <v>40</v>
      </c>
      <c r="H774" s="42">
        <v>131</v>
      </c>
      <c r="I774" s="42">
        <v>248</v>
      </c>
      <c r="J774" s="42">
        <v>266</v>
      </c>
      <c r="K774" s="42">
        <v>266</v>
      </c>
      <c r="L774" s="42"/>
      <c r="M774" s="42"/>
      <c r="N774" s="42">
        <v>284</v>
      </c>
      <c r="O774" s="42"/>
      <c r="P774" s="42"/>
      <c r="Q774" s="42">
        <f t="shared" si="176"/>
        <v>303.88</v>
      </c>
      <c r="R774" s="35">
        <f t="shared" si="157"/>
        <v>107</v>
      </c>
      <c r="S774" s="42"/>
      <c r="T774" s="47">
        <f t="shared" si="177"/>
        <v>328.1904</v>
      </c>
      <c r="U774" s="47">
        <f>T774*1.08</f>
        <v>354.44563200000005</v>
      </c>
      <c r="V774" s="61"/>
      <c r="W774" s="37">
        <f t="shared" si="170"/>
        <v>107.25806451612902</v>
      </c>
      <c r="X774" s="37">
        <f t="shared" si="175"/>
        <v>106.76691729323309</v>
      </c>
    </row>
    <row r="775" spans="1:24" ht="12.75">
      <c r="A775" s="39"/>
      <c r="B775" s="40"/>
      <c r="C775" s="39"/>
      <c r="D775" s="41"/>
      <c r="E775" s="39"/>
      <c r="F775" s="39">
        <v>143</v>
      </c>
      <c r="G775" s="39" t="s">
        <v>41</v>
      </c>
      <c r="H775" s="42"/>
      <c r="I775" s="42"/>
      <c r="J775" s="42"/>
      <c r="K775" s="42"/>
      <c r="L775" s="42"/>
      <c r="M775" s="42"/>
      <c r="N775" s="42">
        <v>1000</v>
      </c>
      <c r="O775" s="42"/>
      <c r="P775" s="42"/>
      <c r="Q775" s="42">
        <f t="shared" si="176"/>
        <v>1070</v>
      </c>
      <c r="R775" s="35">
        <f t="shared" si="157"/>
        <v>107</v>
      </c>
      <c r="S775" s="42"/>
      <c r="T775" s="47">
        <f t="shared" si="177"/>
        <v>1155.6000000000001</v>
      </c>
      <c r="U775" s="47">
        <f>T775*1.08</f>
        <v>1248.0480000000002</v>
      </c>
      <c r="V775" s="61"/>
      <c r="W775" s="37"/>
      <c r="X775" s="37"/>
    </row>
    <row r="776" spans="1:24" ht="12.75">
      <c r="A776" s="39"/>
      <c r="B776" s="40"/>
      <c r="C776" s="39"/>
      <c r="D776" s="41"/>
      <c r="E776" s="39"/>
      <c r="F776" s="39">
        <v>149</v>
      </c>
      <c r="G776" s="39" t="s">
        <v>43</v>
      </c>
      <c r="H776" s="42">
        <v>1122</v>
      </c>
      <c r="I776" s="42">
        <v>1031</v>
      </c>
      <c r="J776" s="42">
        <v>715</v>
      </c>
      <c r="K776" s="42">
        <v>764</v>
      </c>
      <c r="L776" s="42"/>
      <c r="M776" s="42"/>
      <c r="N776" s="42">
        <v>1036</v>
      </c>
      <c r="O776" s="42"/>
      <c r="P776" s="42"/>
      <c r="Q776" s="42">
        <f t="shared" si="176"/>
        <v>1108.52</v>
      </c>
      <c r="R776" s="35">
        <f t="shared" si="157"/>
        <v>107</v>
      </c>
      <c r="S776" s="42"/>
      <c r="T776" s="47">
        <f t="shared" si="177"/>
        <v>1197.2016</v>
      </c>
      <c r="U776" s="47">
        <f>T776*1.08</f>
        <v>1292.9777280000003</v>
      </c>
      <c r="V776" s="61" t="s">
        <v>322</v>
      </c>
      <c r="W776" s="37">
        <f t="shared" si="170"/>
        <v>69.35014548981572</v>
      </c>
      <c r="X776" s="37">
        <f t="shared" si="175"/>
        <v>144.89510489510488</v>
      </c>
    </row>
    <row r="777" spans="1:24" ht="12.75">
      <c r="A777" s="39"/>
      <c r="B777" s="40"/>
      <c r="C777" s="39"/>
      <c r="D777" s="41"/>
      <c r="E777" s="39"/>
      <c r="F777" s="39">
        <v>151</v>
      </c>
      <c r="G777" s="39"/>
      <c r="H777" s="42"/>
      <c r="I777" s="42"/>
      <c r="J777" s="42"/>
      <c r="K777" s="42">
        <v>55</v>
      </c>
      <c r="L777" s="42"/>
      <c r="M777" s="42"/>
      <c r="N777" s="42"/>
      <c r="O777" s="42"/>
      <c r="P777" s="42"/>
      <c r="Q777" s="42">
        <f t="shared" si="176"/>
        <v>0</v>
      </c>
      <c r="R777" s="35" t="e">
        <f t="shared" si="157"/>
        <v>#DIV/0!</v>
      </c>
      <c r="S777" s="42"/>
      <c r="T777" s="47">
        <f t="shared" si="177"/>
        <v>0</v>
      </c>
      <c r="U777" s="47">
        <f>T777*1.08</f>
        <v>0</v>
      </c>
      <c r="V777" s="61"/>
      <c r="W777" s="37"/>
      <c r="X777" s="37"/>
    </row>
    <row r="778" spans="1:24" ht="12.75">
      <c r="A778" s="39"/>
      <c r="B778" s="40"/>
      <c r="C778" s="39"/>
      <c r="D778" s="41"/>
      <c r="E778" s="39"/>
      <c r="F778" s="39">
        <v>159</v>
      </c>
      <c r="G778" s="39" t="s">
        <v>46</v>
      </c>
      <c r="H778" s="42">
        <v>6</v>
      </c>
      <c r="I778" s="42">
        <v>6</v>
      </c>
      <c r="J778" s="42">
        <v>5</v>
      </c>
      <c r="K778" s="42">
        <v>5</v>
      </c>
      <c r="L778" s="42"/>
      <c r="M778" s="42"/>
      <c r="N778" s="42">
        <f>J778+(J778*0.07)</f>
        <v>5.35</v>
      </c>
      <c r="O778" s="42"/>
      <c r="P778" s="42"/>
      <c r="Q778" s="42">
        <f>N778+(N778*0.07)</f>
        <v>5.7245</v>
      </c>
      <c r="R778" s="35">
        <f t="shared" si="157"/>
        <v>107</v>
      </c>
      <c r="S778" s="42"/>
      <c r="T778" s="47">
        <f t="shared" si="177"/>
        <v>6.182460000000001</v>
      </c>
      <c r="U778" s="47">
        <f>T778*1.08</f>
        <v>6.677056800000001</v>
      </c>
      <c r="V778" s="61"/>
      <c r="W778" s="37">
        <f t="shared" si="170"/>
        <v>83.33333333333334</v>
      </c>
      <c r="X778" s="37">
        <f aca="true" t="shared" si="178" ref="X778:X790">N778/J778*100</f>
        <v>106.99999999999999</v>
      </c>
    </row>
    <row r="779" spans="1:24" ht="12.75">
      <c r="A779" s="39"/>
      <c r="B779" s="40"/>
      <c r="C779" s="39"/>
      <c r="D779" s="41"/>
      <c r="E779" s="39"/>
      <c r="F779" s="39">
        <v>452</v>
      </c>
      <c r="G779" s="39" t="s">
        <v>50</v>
      </c>
      <c r="H779" s="42"/>
      <c r="I779" s="42"/>
      <c r="J779" s="42"/>
      <c r="K779" s="42"/>
      <c r="L779" s="42"/>
      <c r="M779" s="42"/>
      <c r="N779" s="42">
        <v>65</v>
      </c>
      <c r="O779" s="42"/>
      <c r="P779" s="42"/>
      <c r="Q779" s="42"/>
      <c r="R779" s="35">
        <f aca="true" t="shared" si="179" ref="R779:R842">Q779/N779*100</f>
        <v>0</v>
      </c>
      <c r="S779" s="42"/>
      <c r="T779" s="47"/>
      <c r="U779" s="35"/>
      <c r="V779" s="61"/>
      <c r="W779" s="37"/>
      <c r="X779" s="37"/>
    </row>
    <row r="780" spans="1:24" ht="12.75">
      <c r="A780" s="39"/>
      <c r="B780" s="40"/>
      <c r="C780" s="39"/>
      <c r="D780" s="41">
        <v>3</v>
      </c>
      <c r="E780" s="39" t="s">
        <v>67</v>
      </c>
      <c r="F780" s="39"/>
      <c r="G780" s="45" t="s">
        <v>318</v>
      </c>
      <c r="H780" s="42">
        <f aca="true" t="shared" si="180" ref="H780:U780">H781</f>
        <v>2170</v>
      </c>
      <c r="I780" s="42">
        <f t="shared" si="180"/>
        <v>2343.6</v>
      </c>
      <c r="J780" s="42">
        <f t="shared" si="180"/>
        <v>2507.652</v>
      </c>
      <c r="K780" s="42"/>
      <c r="L780" s="42"/>
      <c r="M780" s="42"/>
      <c r="N780" s="42">
        <f t="shared" si="180"/>
        <v>2683.18764</v>
      </c>
      <c r="O780" s="42"/>
      <c r="P780" s="42"/>
      <c r="Q780" s="42">
        <f t="shared" si="180"/>
        <v>2871.0107748</v>
      </c>
      <c r="R780" s="35">
        <f t="shared" si="179"/>
        <v>107</v>
      </c>
      <c r="S780" s="42"/>
      <c r="T780" s="42">
        <f t="shared" si="180"/>
        <v>3100.6916367840004</v>
      </c>
      <c r="U780" s="42">
        <f t="shared" si="180"/>
        <v>3348.7469677267204</v>
      </c>
      <c r="V780" s="61"/>
      <c r="W780" s="37">
        <f t="shared" si="170"/>
        <v>107</v>
      </c>
      <c r="X780" s="37">
        <f t="shared" si="178"/>
        <v>107</v>
      </c>
    </row>
    <row r="781" spans="1:24" ht="12.75">
      <c r="A781" s="39"/>
      <c r="B781" s="40"/>
      <c r="C781" s="39"/>
      <c r="D781" s="41"/>
      <c r="E781" s="39"/>
      <c r="F781" s="39">
        <v>149</v>
      </c>
      <c r="G781" s="39" t="s">
        <v>43</v>
      </c>
      <c r="H781" s="42">
        <v>2170</v>
      </c>
      <c r="I781" s="42">
        <f>H781+(H781*0.08)</f>
        <v>2343.6</v>
      </c>
      <c r="J781" s="42">
        <f>I781+(I781*0.07)</f>
        <v>2507.652</v>
      </c>
      <c r="K781" s="42"/>
      <c r="L781" s="42"/>
      <c r="M781" s="42"/>
      <c r="N781" s="42">
        <f>J781+(J781*0.07)</f>
        <v>2683.18764</v>
      </c>
      <c r="O781" s="42"/>
      <c r="P781" s="42"/>
      <c r="Q781" s="42">
        <f>N781+(N781*0.07)</f>
        <v>2871.0107748</v>
      </c>
      <c r="R781" s="35">
        <f t="shared" si="179"/>
        <v>107</v>
      </c>
      <c r="S781" s="42"/>
      <c r="T781" s="47">
        <f>Q781*1.08</f>
        <v>3100.6916367840004</v>
      </c>
      <c r="U781" s="47">
        <f>T781*1.08</f>
        <v>3348.7469677267204</v>
      </c>
      <c r="V781" s="61"/>
      <c r="W781" s="37">
        <f t="shared" si="170"/>
        <v>107</v>
      </c>
      <c r="X781" s="37">
        <f t="shared" si="178"/>
        <v>107</v>
      </c>
    </row>
    <row r="782" spans="1:24" ht="25.5">
      <c r="A782" s="39"/>
      <c r="B782" s="40" t="s">
        <v>134</v>
      </c>
      <c r="C782" s="39"/>
      <c r="D782" s="41"/>
      <c r="E782" s="39"/>
      <c r="F782" s="39"/>
      <c r="G782" s="39" t="s">
        <v>317</v>
      </c>
      <c r="H782" s="42" t="e">
        <f>H783+H796</f>
        <v>#REF!</v>
      </c>
      <c r="I782" s="42">
        <f>I783+I796</f>
        <v>173585.75900000002</v>
      </c>
      <c r="J782" s="42">
        <f>J783+J796</f>
        <v>184214.382</v>
      </c>
      <c r="K782" s="42"/>
      <c r="L782" s="42"/>
      <c r="M782" s="42"/>
      <c r="N782" s="42">
        <f>N783+N796</f>
        <v>252989.563</v>
      </c>
      <c r="O782" s="42"/>
      <c r="P782" s="42"/>
      <c r="Q782" s="42">
        <f>Q783+Q796+Q820</f>
        <v>433611.903</v>
      </c>
      <c r="R782" s="35">
        <f t="shared" si="179"/>
        <v>171.39517451160623</v>
      </c>
      <c r="S782" s="42"/>
      <c r="T782" s="42">
        <f>T783+T796</f>
        <v>219735.0902</v>
      </c>
      <c r="U782" s="42">
        <f>U783+U796</f>
        <v>322048.932376</v>
      </c>
      <c r="V782" s="61"/>
      <c r="W782" s="37">
        <f t="shared" si="170"/>
        <v>106.12298097564559</v>
      </c>
      <c r="X782" s="37">
        <f t="shared" si="178"/>
        <v>137.33431681789102</v>
      </c>
    </row>
    <row r="783" spans="1:24" ht="25.5">
      <c r="A783" s="39"/>
      <c r="B783" s="40"/>
      <c r="C783" s="39">
        <v>452</v>
      </c>
      <c r="D783" s="41"/>
      <c r="E783" s="39"/>
      <c r="F783" s="39"/>
      <c r="G783" s="39" t="s">
        <v>71</v>
      </c>
      <c r="H783" s="42">
        <f aca="true" t="shared" si="181" ref="H783:U783">H784+H792</f>
        <v>126804</v>
      </c>
      <c r="I783" s="42">
        <f t="shared" si="181"/>
        <v>118880</v>
      </c>
      <c r="J783" s="42">
        <f t="shared" si="181"/>
        <v>110289</v>
      </c>
      <c r="K783" s="42"/>
      <c r="L783" s="42"/>
      <c r="M783" s="42"/>
      <c r="N783" s="42">
        <f t="shared" si="181"/>
        <v>191914</v>
      </c>
      <c r="O783" s="42"/>
      <c r="P783" s="42"/>
      <c r="Q783" s="42">
        <f t="shared" si="181"/>
        <v>212000</v>
      </c>
      <c r="R783" s="35">
        <f t="shared" si="179"/>
        <v>110.46614629469448</v>
      </c>
      <c r="S783" s="42"/>
      <c r="T783" s="42">
        <f t="shared" si="181"/>
        <v>155837</v>
      </c>
      <c r="U783" s="42">
        <f t="shared" si="181"/>
        <v>256508</v>
      </c>
      <c r="V783" s="61"/>
      <c r="W783" s="37">
        <f t="shared" si="170"/>
        <v>92.77338492597578</v>
      </c>
      <c r="X783" s="37">
        <f t="shared" si="178"/>
        <v>174.01010073534079</v>
      </c>
    </row>
    <row r="784" spans="1:24" ht="25.5">
      <c r="A784" s="39"/>
      <c r="B784" s="40"/>
      <c r="C784" s="39"/>
      <c r="D784" s="41">
        <v>12</v>
      </c>
      <c r="E784" s="39"/>
      <c r="F784" s="39"/>
      <c r="G784" s="45" t="s">
        <v>323</v>
      </c>
      <c r="H784" s="42">
        <f>H785+H787+H789</f>
        <v>111804</v>
      </c>
      <c r="I784" s="42">
        <f>I785+I787+I789</f>
        <v>118880</v>
      </c>
      <c r="J784" s="42">
        <f>J785+J787+J789</f>
        <v>110289</v>
      </c>
      <c r="K784" s="42"/>
      <c r="L784" s="42">
        <v>158038</v>
      </c>
      <c r="M784" s="42"/>
      <c r="N784" s="42">
        <f>N785+N787+N789</f>
        <v>191914</v>
      </c>
      <c r="O784" s="42">
        <f>O785+O787+O789+2</f>
        <v>2</v>
      </c>
      <c r="P784" s="42"/>
      <c r="Q784" s="42">
        <f>Q785+Q787+Q789+22000+18124+40107+1120-73000-13500+4402-25000+1000-360+2800-46000+5000-18248-140-5107-200-2500-3800-7850+60000+1500+48954+19948-8000-500-683</f>
        <v>212000</v>
      </c>
      <c r="R784" s="35">
        <f t="shared" si="179"/>
        <v>110.46614629469448</v>
      </c>
      <c r="S784" s="42"/>
      <c r="T784" s="42">
        <f>T785+T787+T789+48314-64232-8000+16316+6559-8400+30280</f>
        <v>155837</v>
      </c>
      <c r="U784" s="42">
        <f>U785+U787+U789-25000+25653-1000+100000-8903+30758</f>
        <v>256508</v>
      </c>
      <c r="V784" s="61"/>
      <c r="W784" s="37">
        <f t="shared" si="170"/>
        <v>92.77338492597578</v>
      </c>
      <c r="X784" s="37">
        <f t="shared" si="178"/>
        <v>174.01010073534079</v>
      </c>
    </row>
    <row r="785" spans="1:24" ht="51">
      <c r="A785" s="39"/>
      <c r="B785" s="40"/>
      <c r="C785" s="39"/>
      <c r="D785" s="41"/>
      <c r="E785" s="39">
        <v>100</v>
      </c>
      <c r="F785" s="39"/>
      <c r="G785" s="39" t="s">
        <v>324</v>
      </c>
      <c r="H785" s="42">
        <f aca="true" t="shared" si="182" ref="H785:U785">H786</f>
        <v>40871</v>
      </c>
      <c r="I785" s="42">
        <f t="shared" si="182"/>
        <v>51305</v>
      </c>
      <c r="J785" s="42">
        <f t="shared" si="182"/>
        <v>49243</v>
      </c>
      <c r="K785" s="42"/>
      <c r="L785" s="42"/>
      <c r="M785" s="42"/>
      <c r="N785" s="42">
        <f t="shared" si="182"/>
        <v>33000</v>
      </c>
      <c r="O785" s="42"/>
      <c r="P785" s="42"/>
      <c r="Q785" s="42">
        <f t="shared" si="182"/>
        <v>33000</v>
      </c>
      <c r="R785" s="35">
        <f t="shared" si="179"/>
        <v>100</v>
      </c>
      <c r="S785" s="42"/>
      <c r="T785" s="42">
        <f t="shared" si="182"/>
        <v>40000</v>
      </c>
      <c r="U785" s="42">
        <f t="shared" si="182"/>
        <v>40000</v>
      </c>
      <c r="V785" s="61"/>
      <c r="W785" s="37">
        <f t="shared" si="170"/>
        <v>95.98089854789981</v>
      </c>
      <c r="X785" s="37">
        <f t="shared" si="178"/>
        <v>67.01460106004915</v>
      </c>
    </row>
    <row r="786" spans="1:24" ht="12.75">
      <c r="A786" s="39"/>
      <c r="B786" s="40"/>
      <c r="C786" s="39"/>
      <c r="D786" s="41"/>
      <c r="E786" s="39"/>
      <c r="F786" s="39">
        <v>159</v>
      </c>
      <c r="G786" s="39" t="s">
        <v>46</v>
      </c>
      <c r="H786" s="42">
        <v>40871</v>
      </c>
      <c r="I786" s="42">
        <v>51305</v>
      </c>
      <c r="J786" s="42">
        <v>49243</v>
      </c>
      <c r="K786" s="42"/>
      <c r="L786" s="42"/>
      <c r="M786" s="42"/>
      <c r="N786" s="42">
        <v>33000</v>
      </c>
      <c r="O786" s="42"/>
      <c r="P786" s="42"/>
      <c r="Q786" s="42">
        <v>33000</v>
      </c>
      <c r="R786" s="35">
        <f t="shared" si="179"/>
        <v>100</v>
      </c>
      <c r="S786" s="42"/>
      <c r="T786" s="47">
        <v>40000</v>
      </c>
      <c r="U786" s="47">
        <v>40000</v>
      </c>
      <c r="V786" s="61"/>
      <c r="W786" s="37">
        <f t="shared" si="170"/>
        <v>95.98089854789981</v>
      </c>
      <c r="X786" s="37">
        <f t="shared" si="178"/>
        <v>67.01460106004915</v>
      </c>
    </row>
    <row r="787" spans="1:24" ht="25.5">
      <c r="A787" s="39"/>
      <c r="B787" s="40"/>
      <c r="C787" s="39"/>
      <c r="D787" s="41"/>
      <c r="E787" s="39">
        <v>101</v>
      </c>
      <c r="F787" s="39"/>
      <c r="G787" s="39" t="s">
        <v>325</v>
      </c>
      <c r="H787" s="42">
        <f aca="true" t="shared" si="183" ref="H787:U787">H788</f>
        <v>38758</v>
      </c>
      <c r="I787" s="42">
        <f t="shared" si="183"/>
        <v>49361</v>
      </c>
      <c r="J787" s="42">
        <f t="shared" si="183"/>
        <v>40046</v>
      </c>
      <c r="K787" s="42"/>
      <c r="L787" s="42"/>
      <c r="M787" s="42"/>
      <c r="N787" s="42">
        <f t="shared" si="183"/>
        <v>78914</v>
      </c>
      <c r="O787" s="42"/>
      <c r="P787" s="42"/>
      <c r="Q787" s="42">
        <f t="shared" si="183"/>
        <v>80000</v>
      </c>
      <c r="R787" s="35">
        <f t="shared" si="179"/>
        <v>101.37618166611755</v>
      </c>
      <c r="S787" s="42"/>
      <c r="T787" s="42">
        <f t="shared" si="183"/>
        <v>45000</v>
      </c>
      <c r="U787" s="42">
        <f t="shared" si="183"/>
        <v>45000</v>
      </c>
      <c r="V787" s="61"/>
      <c r="W787" s="37">
        <f t="shared" si="170"/>
        <v>81.12882640141001</v>
      </c>
      <c r="X787" s="37">
        <f t="shared" si="178"/>
        <v>197.05838285971134</v>
      </c>
    </row>
    <row r="788" spans="1:24" ht="12.75">
      <c r="A788" s="39"/>
      <c r="B788" s="40"/>
      <c r="C788" s="39"/>
      <c r="D788" s="41"/>
      <c r="E788" s="39"/>
      <c r="F788" s="39">
        <v>159</v>
      </c>
      <c r="G788" s="39" t="s">
        <v>46</v>
      </c>
      <c r="H788" s="42">
        <v>38758</v>
      </c>
      <c r="I788" s="42">
        <v>49361</v>
      </c>
      <c r="J788" s="42">
        <v>40046</v>
      </c>
      <c r="K788" s="42"/>
      <c r="L788" s="42"/>
      <c r="M788" s="42"/>
      <c r="N788" s="42">
        <v>78914</v>
      </c>
      <c r="O788" s="42"/>
      <c r="P788" s="42"/>
      <c r="Q788" s="42">
        <v>80000</v>
      </c>
      <c r="R788" s="35">
        <f t="shared" si="179"/>
        <v>101.37618166611755</v>
      </c>
      <c r="S788" s="42"/>
      <c r="T788" s="47">
        <f>75000-30000</f>
        <v>45000</v>
      </c>
      <c r="U788" s="35">
        <f>75000-30000</f>
        <v>45000</v>
      </c>
      <c r="V788" s="61"/>
      <c r="W788" s="37">
        <f t="shared" si="170"/>
        <v>81.12882640141001</v>
      </c>
      <c r="X788" s="37">
        <f t="shared" si="178"/>
        <v>197.05838285971134</v>
      </c>
    </row>
    <row r="789" spans="1:24" ht="38.25">
      <c r="A789" s="39"/>
      <c r="B789" s="40"/>
      <c r="C789" s="39"/>
      <c r="D789" s="41"/>
      <c r="E789" s="39">
        <v>102</v>
      </c>
      <c r="F789" s="39"/>
      <c r="G789" s="39" t="s">
        <v>326</v>
      </c>
      <c r="H789" s="42">
        <f aca="true" t="shared" si="184" ref="H789:U789">H790+H791</f>
        <v>32175</v>
      </c>
      <c r="I789" s="42">
        <f t="shared" si="184"/>
        <v>18214</v>
      </c>
      <c r="J789" s="42">
        <f t="shared" si="184"/>
        <v>21000</v>
      </c>
      <c r="K789" s="42"/>
      <c r="L789" s="42"/>
      <c r="M789" s="42"/>
      <c r="N789" s="42">
        <f t="shared" si="184"/>
        <v>80000</v>
      </c>
      <c r="O789" s="42"/>
      <c r="P789" s="42"/>
      <c r="Q789" s="42">
        <f t="shared" si="184"/>
        <v>78933</v>
      </c>
      <c r="R789" s="35">
        <f t="shared" si="179"/>
        <v>98.66625</v>
      </c>
      <c r="S789" s="42"/>
      <c r="T789" s="42">
        <f t="shared" si="184"/>
        <v>50000</v>
      </c>
      <c r="U789" s="42">
        <f t="shared" si="184"/>
        <v>50000</v>
      </c>
      <c r="V789" s="61"/>
      <c r="W789" s="37">
        <f t="shared" si="170"/>
        <v>115.29592621060722</v>
      </c>
      <c r="X789" s="37">
        <f t="shared" si="178"/>
        <v>380.9523809523809</v>
      </c>
    </row>
    <row r="790" spans="1:24" ht="25.5">
      <c r="A790" s="39"/>
      <c r="B790" s="40"/>
      <c r="C790" s="39"/>
      <c r="D790" s="41"/>
      <c r="E790" s="39"/>
      <c r="F790" s="39">
        <v>155</v>
      </c>
      <c r="G790" s="39" t="s">
        <v>141</v>
      </c>
      <c r="H790" s="42">
        <v>32175</v>
      </c>
      <c r="I790" s="42">
        <v>18214</v>
      </c>
      <c r="J790" s="42">
        <v>21000</v>
      </c>
      <c r="K790" s="42"/>
      <c r="L790" s="42"/>
      <c r="M790" s="42"/>
      <c r="N790" s="42">
        <v>80000</v>
      </c>
      <c r="O790" s="42"/>
      <c r="P790" s="42"/>
      <c r="Q790" s="42">
        <v>78933</v>
      </c>
      <c r="R790" s="35">
        <f t="shared" si="179"/>
        <v>98.66625</v>
      </c>
      <c r="S790" s="42"/>
      <c r="T790" s="47">
        <v>50000</v>
      </c>
      <c r="U790" s="47">
        <v>50000</v>
      </c>
      <c r="V790" s="61"/>
      <c r="W790" s="37">
        <f t="shared" si="170"/>
        <v>115.29592621060722</v>
      </c>
      <c r="X790" s="37">
        <f t="shared" si="178"/>
        <v>380.9523809523809</v>
      </c>
    </row>
    <row r="791" spans="1:24" ht="12.75">
      <c r="A791" s="39"/>
      <c r="B791" s="40"/>
      <c r="C791" s="39"/>
      <c r="D791" s="41"/>
      <c r="E791" s="39"/>
      <c r="F791" s="39">
        <v>159</v>
      </c>
      <c r="G791" s="39" t="s">
        <v>46</v>
      </c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35" t="e">
        <f t="shared" si="179"/>
        <v>#DIV/0!</v>
      </c>
      <c r="S791" s="42"/>
      <c r="T791" s="47"/>
      <c r="U791" s="35"/>
      <c r="V791" s="61"/>
      <c r="W791" s="37"/>
      <c r="X791" s="37"/>
    </row>
    <row r="792" spans="1:24" ht="25.5">
      <c r="A792" s="39"/>
      <c r="B792" s="40"/>
      <c r="C792" s="39"/>
      <c r="D792" s="41" t="s">
        <v>327</v>
      </c>
      <c r="E792" s="39" t="s">
        <v>67</v>
      </c>
      <c r="F792" s="39"/>
      <c r="G792" s="45" t="s">
        <v>328</v>
      </c>
      <c r="H792" s="42">
        <f>H793+H794+H795</f>
        <v>15000</v>
      </c>
      <c r="I792" s="42">
        <f>I793+I794+I795</f>
        <v>0</v>
      </c>
      <c r="J792" s="42">
        <f>J793+J794+J795</f>
        <v>0</v>
      </c>
      <c r="K792" s="42"/>
      <c r="L792" s="42"/>
      <c r="M792" s="42"/>
      <c r="N792" s="42">
        <f>N793+N794+N795</f>
        <v>0</v>
      </c>
      <c r="O792" s="42"/>
      <c r="P792" s="42"/>
      <c r="Q792" s="42"/>
      <c r="R792" s="35" t="e">
        <f t="shared" si="179"/>
        <v>#DIV/0!</v>
      </c>
      <c r="S792" s="42"/>
      <c r="T792" s="47"/>
      <c r="U792" s="35"/>
      <c r="V792" s="61"/>
      <c r="W792" s="37"/>
      <c r="X792" s="37"/>
    </row>
    <row r="793" spans="1:24" ht="12.75">
      <c r="A793" s="39"/>
      <c r="B793" s="40"/>
      <c r="C793" s="39"/>
      <c r="D793" s="41"/>
      <c r="E793" s="39"/>
      <c r="F793" s="39">
        <v>461</v>
      </c>
      <c r="G793" s="39" t="s">
        <v>115</v>
      </c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35" t="e">
        <f t="shared" si="179"/>
        <v>#DIV/0!</v>
      </c>
      <c r="S793" s="42"/>
      <c r="T793" s="47"/>
      <c r="U793" s="35"/>
      <c r="V793" s="61"/>
      <c r="W793" s="37"/>
      <c r="X793" s="37"/>
    </row>
    <row r="794" spans="1:24" ht="25.5">
      <c r="A794" s="39"/>
      <c r="B794" s="40"/>
      <c r="C794" s="39"/>
      <c r="D794" s="41"/>
      <c r="E794" s="39"/>
      <c r="F794" s="39">
        <v>611</v>
      </c>
      <c r="G794" s="39" t="s">
        <v>329</v>
      </c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35" t="e">
        <f t="shared" si="179"/>
        <v>#DIV/0!</v>
      </c>
      <c r="S794" s="42"/>
      <c r="T794" s="47"/>
      <c r="U794" s="35"/>
      <c r="V794" s="61"/>
      <c r="W794" s="37"/>
      <c r="X794" s="37"/>
    </row>
    <row r="795" spans="1:24" ht="25.5">
      <c r="A795" s="39"/>
      <c r="B795" s="40"/>
      <c r="C795" s="39"/>
      <c r="D795" s="41"/>
      <c r="E795" s="39"/>
      <c r="F795" s="39">
        <v>612</v>
      </c>
      <c r="G795" s="39" t="s">
        <v>330</v>
      </c>
      <c r="H795" s="42">
        <v>15000</v>
      </c>
      <c r="I795" s="42"/>
      <c r="J795" s="42">
        <f>I795+(I795*0.075)</f>
        <v>0</v>
      </c>
      <c r="K795" s="42"/>
      <c r="L795" s="42"/>
      <c r="M795" s="42"/>
      <c r="N795" s="42">
        <f>J795+(J795*0.07)</f>
        <v>0</v>
      </c>
      <c r="O795" s="42"/>
      <c r="P795" s="42"/>
      <c r="Q795" s="42"/>
      <c r="R795" s="35" t="e">
        <f t="shared" si="179"/>
        <v>#DIV/0!</v>
      </c>
      <c r="S795" s="42"/>
      <c r="T795" s="47"/>
      <c r="U795" s="35"/>
      <c r="V795" s="61"/>
      <c r="W795" s="37"/>
      <c r="X795" s="37"/>
    </row>
    <row r="796" spans="1:24" ht="38.25">
      <c r="A796" s="39"/>
      <c r="B796" s="40"/>
      <c r="C796" s="39">
        <v>458</v>
      </c>
      <c r="D796" s="41"/>
      <c r="E796" s="39"/>
      <c r="F796" s="39"/>
      <c r="G796" s="39" t="s">
        <v>97</v>
      </c>
      <c r="H796" s="42" t="e">
        <f>H797</f>
        <v>#REF!</v>
      </c>
      <c r="I796" s="42">
        <f>I797</f>
        <v>54705.759000000005</v>
      </c>
      <c r="J796" s="42">
        <f>J797+J816</f>
        <v>73925.38200000001</v>
      </c>
      <c r="K796" s="42"/>
      <c r="L796" s="42"/>
      <c r="M796" s="42"/>
      <c r="N796" s="42">
        <f>N797</f>
        <v>61075.563</v>
      </c>
      <c r="O796" s="42"/>
      <c r="P796" s="42"/>
      <c r="Q796" s="42">
        <f>Q797+Q818+Q819</f>
        <v>191046.903</v>
      </c>
      <c r="R796" s="35">
        <f t="shared" si="179"/>
        <v>312.80416195262904</v>
      </c>
      <c r="S796" s="42"/>
      <c r="T796" s="42">
        <f>T797</f>
        <v>63898.090200000006</v>
      </c>
      <c r="U796" s="42">
        <f>U797</f>
        <v>65540.93237600001</v>
      </c>
      <c r="V796" s="61"/>
      <c r="W796" s="37">
        <f aca="true" t="shared" si="185" ref="W796:W815">J796/I796*100</f>
        <v>135.13272341217314</v>
      </c>
      <c r="X796" s="37">
        <f>N796/J796*100</f>
        <v>82.61785241772574</v>
      </c>
    </row>
    <row r="797" spans="1:24" ht="63.75">
      <c r="A797" s="39"/>
      <c r="B797" s="40"/>
      <c r="C797" s="39"/>
      <c r="D797" s="41">
        <v>1</v>
      </c>
      <c r="E797" s="39"/>
      <c r="F797" s="39"/>
      <c r="G797" s="45" t="s">
        <v>331</v>
      </c>
      <c r="H797" s="42" t="e">
        <f>#REF!+#REF!</f>
        <v>#REF!</v>
      </c>
      <c r="I797" s="42">
        <f>SUM(I798:I815)</f>
        <v>54705.759000000005</v>
      </c>
      <c r="J797" s="42">
        <f>SUM(J798:J815)</f>
        <v>48725.382000000005</v>
      </c>
      <c r="K797" s="42">
        <f>SUM(K798:K815)</f>
        <v>53676</v>
      </c>
      <c r="L797" s="42">
        <v>52983</v>
      </c>
      <c r="M797" s="42">
        <v>53876</v>
      </c>
      <c r="N797" s="42">
        <f>SUM(N798:N805,N810:N815)</f>
        <v>61075.563</v>
      </c>
      <c r="O797" s="42">
        <f aca="true" t="shared" si="186" ref="O797:U797">SUM(O798:O805,O810:O815)</f>
        <v>32827</v>
      </c>
      <c r="P797" s="42"/>
      <c r="Q797" s="42">
        <f t="shared" si="186"/>
        <v>62339.903000000006</v>
      </c>
      <c r="R797" s="35">
        <f t="shared" si="179"/>
        <v>102.07012418370995</v>
      </c>
      <c r="S797" s="42"/>
      <c r="T797" s="42">
        <f t="shared" si="186"/>
        <v>63898.090200000006</v>
      </c>
      <c r="U797" s="42">
        <f t="shared" si="186"/>
        <v>65540.93237600001</v>
      </c>
      <c r="V797" s="61" t="s">
        <v>332</v>
      </c>
      <c r="W797" s="37">
        <f t="shared" si="185"/>
        <v>89.06810341485254</v>
      </c>
      <c r="X797" s="37">
        <f>N797/J797*100</f>
        <v>125.34650421006448</v>
      </c>
    </row>
    <row r="798" spans="1:24" ht="12.75">
      <c r="A798" s="39"/>
      <c r="B798" s="40"/>
      <c r="C798" s="39"/>
      <c r="D798" s="41"/>
      <c r="E798" s="39"/>
      <c r="F798" s="39">
        <v>111</v>
      </c>
      <c r="G798" s="39" t="s">
        <v>33</v>
      </c>
      <c r="H798" s="42">
        <v>19159</v>
      </c>
      <c r="I798" s="42">
        <v>21341</v>
      </c>
      <c r="J798" s="42">
        <v>23958</v>
      </c>
      <c r="K798" s="42">
        <v>23360</v>
      </c>
      <c r="L798" s="42"/>
      <c r="M798" s="42"/>
      <c r="N798" s="42">
        <v>28137</v>
      </c>
      <c r="O798" s="42">
        <v>28137</v>
      </c>
      <c r="P798" s="42"/>
      <c r="Q798" s="42">
        <v>28137</v>
      </c>
      <c r="R798" s="35">
        <f t="shared" si="179"/>
        <v>100</v>
      </c>
      <c r="S798" s="42"/>
      <c r="T798" s="42">
        <v>28137</v>
      </c>
      <c r="U798" s="42">
        <v>28137</v>
      </c>
      <c r="V798" s="46"/>
      <c r="W798" s="37">
        <f t="shared" si="185"/>
        <v>112.26278056323508</v>
      </c>
      <c r="X798" s="37">
        <f>N798/J798*100</f>
        <v>117.44302529426496</v>
      </c>
    </row>
    <row r="799" spans="1:24" ht="12.75">
      <c r="A799" s="39"/>
      <c r="B799" s="40"/>
      <c r="C799" s="39"/>
      <c r="D799" s="41"/>
      <c r="E799" s="39"/>
      <c r="F799" s="39">
        <v>112</v>
      </c>
      <c r="G799" s="39"/>
      <c r="H799" s="42"/>
      <c r="I799" s="42"/>
      <c r="J799" s="42"/>
      <c r="K799" s="42">
        <v>620</v>
      </c>
      <c r="L799" s="42"/>
      <c r="M799" s="42"/>
      <c r="N799" s="42"/>
      <c r="O799" s="42"/>
      <c r="P799" s="42"/>
      <c r="Q799" s="42"/>
      <c r="R799" s="35" t="e">
        <f t="shared" si="179"/>
        <v>#DIV/0!</v>
      </c>
      <c r="S799" s="42"/>
      <c r="T799" s="47"/>
      <c r="U799" s="35"/>
      <c r="V799" s="46"/>
      <c r="W799" s="37"/>
      <c r="X799" s="37"/>
    </row>
    <row r="800" spans="1:24" ht="12.75">
      <c r="A800" s="39"/>
      <c r="B800" s="40"/>
      <c r="C800" s="39"/>
      <c r="D800" s="41"/>
      <c r="E800" s="39"/>
      <c r="F800" s="39">
        <v>113</v>
      </c>
      <c r="G800" s="39" t="s">
        <v>35</v>
      </c>
      <c r="H800" s="42">
        <v>3193</v>
      </c>
      <c r="I800" s="42">
        <v>3953</v>
      </c>
      <c r="J800" s="42">
        <v>4053</v>
      </c>
      <c r="K800" s="42">
        <v>4031</v>
      </c>
      <c r="L800" s="42"/>
      <c r="M800" s="42"/>
      <c r="N800" s="42">
        <v>4690</v>
      </c>
      <c r="O800" s="42">
        <v>4690</v>
      </c>
      <c r="P800" s="42"/>
      <c r="Q800" s="42">
        <v>4690</v>
      </c>
      <c r="R800" s="35">
        <f t="shared" si="179"/>
        <v>100</v>
      </c>
      <c r="S800" s="42"/>
      <c r="T800" s="42">
        <v>4690</v>
      </c>
      <c r="U800" s="42">
        <v>4690</v>
      </c>
      <c r="V800" s="61"/>
      <c r="W800" s="37">
        <f t="shared" si="185"/>
        <v>102.52972426005564</v>
      </c>
      <c r="X800" s="37">
        <f aca="true" t="shared" si="187" ref="X800:X812">N800/J800*100</f>
        <v>115.71675302245251</v>
      </c>
    </row>
    <row r="801" spans="1:24" ht="12.75">
      <c r="A801" s="39"/>
      <c r="B801" s="40"/>
      <c r="C801" s="39"/>
      <c r="D801" s="41"/>
      <c r="E801" s="39"/>
      <c r="F801" s="39">
        <v>121</v>
      </c>
      <c r="G801" s="39" t="s">
        <v>36</v>
      </c>
      <c r="H801" s="42">
        <v>1207</v>
      </c>
      <c r="I801" s="42">
        <f>(I798-(I798*0.1))*0.06</f>
        <v>1152.414</v>
      </c>
      <c r="J801" s="42">
        <f>(J798-(J798*0.1))*0.06</f>
        <v>1293.732</v>
      </c>
      <c r="K801" s="42">
        <v>1437</v>
      </c>
      <c r="L801" s="42"/>
      <c r="M801" s="42"/>
      <c r="N801" s="42">
        <f>(N798-(N798*0.1))*0.06</f>
        <v>1519.398</v>
      </c>
      <c r="O801" s="42"/>
      <c r="P801" s="42"/>
      <c r="Q801" s="42">
        <f>(Q798-(Q798*0.1))*0.06</f>
        <v>1519.398</v>
      </c>
      <c r="R801" s="35">
        <f t="shared" si="179"/>
        <v>100</v>
      </c>
      <c r="S801" s="42"/>
      <c r="T801" s="42">
        <f>(T798-(T798*0.1))*0.06</f>
        <v>1519.398</v>
      </c>
      <c r="U801" s="42">
        <f>(U798-(U798*0.1))*0.06</f>
        <v>1519.398</v>
      </c>
      <c r="V801" s="61"/>
      <c r="W801" s="37">
        <f t="shared" si="185"/>
        <v>112.26278056323508</v>
      </c>
      <c r="X801" s="37">
        <f t="shared" si="187"/>
        <v>117.44302529426496</v>
      </c>
    </row>
    <row r="802" spans="1:24" ht="25.5">
      <c r="A802" s="39"/>
      <c r="B802" s="40"/>
      <c r="C802" s="39"/>
      <c r="D802" s="41"/>
      <c r="E802" s="39"/>
      <c r="F802" s="39">
        <v>122</v>
      </c>
      <c r="G802" s="39" t="s">
        <v>37</v>
      </c>
      <c r="H802" s="42">
        <v>690</v>
      </c>
      <c r="I802" s="42">
        <f>(I798-(I798*0.1))*0.05</f>
        <v>960.3450000000001</v>
      </c>
      <c r="J802" s="42">
        <f>(J798-(J798*0.1))*0.05</f>
        <v>1078.1100000000001</v>
      </c>
      <c r="K802" s="42">
        <v>1198</v>
      </c>
      <c r="L802" s="42"/>
      <c r="M802" s="42"/>
      <c r="N802" s="42">
        <f>(N798-(N798*0.1))*0.05</f>
        <v>1266.165</v>
      </c>
      <c r="O802" s="42"/>
      <c r="P802" s="42"/>
      <c r="Q802" s="42">
        <f>(Q798-(Q798*0.1))*0.05</f>
        <v>1266.165</v>
      </c>
      <c r="R802" s="35">
        <f t="shared" si="179"/>
        <v>100</v>
      </c>
      <c r="S802" s="42"/>
      <c r="T802" s="42">
        <f>(T798-(T798*0.1))*0.05</f>
        <v>1266.165</v>
      </c>
      <c r="U802" s="42">
        <f>(U798-(U798*0.1))*0.05</f>
        <v>1266.165</v>
      </c>
      <c r="V802" s="61"/>
      <c r="W802" s="37">
        <f t="shared" si="185"/>
        <v>112.26278056323508</v>
      </c>
      <c r="X802" s="37">
        <f t="shared" si="187"/>
        <v>117.44302529426494</v>
      </c>
    </row>
    <row r="803" spans="1:24" ht="38.25">
      <c r="A803" s="39"/>
      <c r="B803" s="40"/>
      <c r="C803" s="39"/>
      <c r="D803" s="41"/>
      <c r="E803" s="39"/>
      <c r="F803" s="39">
        <v>125</v>
      </c>
      <c r="G803" s="39" t="s">
        <v>38</v>
      </c>
      <c r="H803" s="42">
        <v>21</v>
      </c>
      <c r="I803" s="42">
        <v>21</v>
      </c>
      <c r="J803" s="42"/>
      <c r="K803" s="42"/>
      <c r="L803" s="42"/>
      <c r="M803" s="42"/>
      <c r="N803" s="42">
        <f>J803+(J803*0.07)</f>
        <v>0</v>
      </c>
      <c r="O803" s="42"/>
      <c r="P803" s="42"/>
      <c r="Q803" s="42">
        <f>N803+(N803*0.07)</f>
        <v>0</v>
      </c>
      <c r="R803" s="35" t="e">
        <f t="shared" si="179"/>
        <v>#DIV/0!</v>
      </c>
      <c r="S803" s="42"/>
      <c r="T803" s="47"/>
      <c r="U803" s="35"/>
      <c r="V803" s="61"/>
      <c r="W803" s="37">
        <f t="shared" si="185"/>
        <v>0</v>
      </c>
      <c r="X803" s="37" t="e">
        <f t="shared" si="187"/>
        <v>#DIV/0!</v>
      </c>
    </row>
    <row r="804" spans="1:24" ht="12.75">
      <c r="A804" s="39"/>
      <c r="B804" s="40"/>
      <c r="C804" s="39"/>
      <c r="D804" s="41"/>
      <c r="E804" s="39"/>
      <c r="F804" s="39">
        <v>139</v>
      </c>
      <c r="G804" s="39" t="s">
        <v>39</v>
      </c>
      <c r="H804" s="42">
        <v>4643</v>
      </c>
      <c r="I804" s="42">
        <v>4150</v>
      </c>
      <c r="J804" s="42">
        <v>2041</v>
      </c>
      <c r="K804" s="42">
        <v>4638</v>
      </c>
      <c r="L804" s="42"/>
      <c r="M804" s="42"/>
      <c r="N804" s="42">
        <v>3130</v>
      </c>
      <c r="O804" s="42"/>
      <c r="P804" s="42"/>
      <c r="Q804" s="42">
        <f>N804+(N804*0.07)</f>
        <v>3349.1</v>
      </c>
      <c r="R804" s="35">
        <f t="shared" si="179"/>
        <v>107</v>
      </c>
      <c r="S804" s="42"/>
      <c r="T804" s="42">
        <f>Q804*1.08</f>
        <v>3617.0280000000002</v>
      </c>
      <c r="U804" s="42">
        <f>T804*1.08</f>
        <v>3906.3902400000006</v>
      </c>
      <c r="V804" s="46"/>
      <c r="W804" s="37">
        <f t="shared" si="185"/>
        <v>49.18072289156626</v>
      </c>
      <c r="X804" s="37">
        <f t="shared" si="187"/>
        <v>153.3561979421852</v>
      </c>
    </row>
    <row r="805" spans="1:24" ht="12.75">
      <c r="A805" s="39"/>
      <c r="B805" s="40"/>
      <c r="C805" s="39"/>
      <c r="D805" s="41"/>
      <c r="E805" s="39"/>
      <c r="F805" s="39">
        <v>141</v>
      </c>
      <c r="G805" s="39" t="s">
        <v>60</v>
      </c>
      <c r="H805" s="42">
        <v>893</v>
      </c>
      <c r="I805" s="42">
        <v>1174</v>
      </c>
      <c r="J805" s="42">
        <v>1213</v>
      </c>
      <c r="K805" s="42">
        <v>1213</v>
      </c>
      <c r="L805" s="42"/>
      <c r="M805" s="42"/>
      <c r="N805" s="42">
        <f>SUM(N807:N809)</f>
        <v>1392</v>
      </c>
      <c r="O805" s="42"/>
      <c r="P805" s="42"/>
      <c r="Q805" s="42">
        <f>N805+(N805*0.07)</f>
        <v>1489.44</v>
      </c>
      <c r="R805" s="35">
        <f t="shared" si="179"/>
        <v>107</v>
      </c>
      <c r="S805" s="42"/>
      <c r="T805" s="42">
        <f>Q805*1.08</f>
        <v>1608.5952000000002</v>
      </c>
      <c r="U805" s="42">
        <f aca="true" t="shared" si="188" ref="U805:U811">T805*1.08</f>
        <v>1737.2828160000004</v>
      </c>
      <c r="V805" s="61"/>
      <c r="W805" s="37">
        <f t="shared" si="185"/>
        <v>103.32197614991483</v>
      </c>
      <c r="X805" s="37">
        <f t="shared" si="187"/>
        <v>114.75680131904369</v>
      </c>
    </row>
    <row r="806" spans="1:24" ht="12.75">
      <c r="A806" s="39"/>
      <c r="B806" s="40"/>
      <c r="C806" s="39"/>
      <c r="D806" s="41"/>
      <c r="E806" s="39"/>
      <c r="F806" s="39"/>
      <c r="G806" s="39" t="s">
        <v>58</v>
      </c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35" t="e">
        <f t="shared" si="179"/>
        <v>#DIV/0!</v>
      </c>
      <c r="S806" s="42"/>
      <c r="T806" s="42"/>
      <c r="U806" s="42"/>
      <c r="V806" s="61"/>
      <c r="W806" s="37"/>
      <c r="X806" s="37"/>
    </row>
    <row r="807" spans="1:24" ht="12.75">
      <c r="A807" s="39"/>
      <c r="B807" s="40"/>
      <c r="C807" s="39"/>
      <c r="D807" s="41"/>
      <c r="E807" s="39"/>
      <c r="F807" s="39"/>
      <c r="G807" s="39" t="s">
        <v>64</v>
      </c>
      <c r="H807" s="42"/>
      <c r="I807" s="42"/>
      <c r="J807" s="42"/>
      <c r="K807" s="42"/>
      <c r="L807" s="42"/>
      <c r="M807" s="42"/>
      <c r="N807" s="42">
        <v>70</v>
      </c>
      <c r="O807" s="42"/>
      <c r="P807" s="42"/>
      <c r="Q807" s="42"/>
      <c r="R807" s="35">
        <f t="shared" si="179"/>
        <v>0</v>
      </c>
      <c r="S807" s="42"/>
      <c r="T807" s="42"/>
      <c r="U807" s="42"/>
      <c r="V807" s="61"/>
      <c r="W807" s="37"/>
      <c r="X807" s="37"/>
    </row>
    <row r="808" spans="1:24" ht="12.75">
      <c r="A808" s="39"/>
      <c r="B808" s="40"/>
      <c r="C808" s="39"/>
      <c r="D808" s="41"/>
      <c r="E808" s="39"/>
      <c r="F808" s="39"/>
      <c r="G808" s="39" t="s">
        <v>65</v>
      </c>
      <c r="H808" s="42"/>
      <c r="I808" s="42"/>
      <c r="J808" s="42"/>
      <c r="K808" s="42"/>
      <c r="L808" s="42"/>
      <c r="M808" s="42"/>
      <c r="N808" s="42">
        <v>499</v>
      </c>
      <c r="O808" s="42"/>
      <c r="P808" s="42"/>
      <c r="Q808" s="42"/>
      <c r="R808" s="35">
        <f t="shared" si="179"/>
        <v>0</v>
      </c>
      <c r="S808" s="42"/>
      <c r="T808" s="42"/>
      <c r="U808" s="42"/>
      <c r="V808" s="61"/>
      <c r="W808" s="37"/>
      <c r="X808" s="37"/>
    </row>
    <row r="809" spans="1:24" ht="12.75">
      <c r="A809" s="39"/>
      <c r="B809" s="40"/>
      <c r="C809" s="39"/>
      <c r="D809" s="41"/>
      <c r="E809" s="39"/>
      <c r="F809" s="39"/>
      <c r="G809" s="39" t="s">
        <v>66</v>
      </c>
      <c r="H809" s="42"/>
      <c r="I809" s="42"/>
      <c r="J809" s="42"/>
      <c r="K809" s="42"/>
      <c r="L809" s="42"/>
      <c r="M809" s="42"/>
      <c r="N809" s="42">
        <v>823</v>
      </c>
      <c r="O809" s="42"/>
      <c r="P809" s="42"/>
      <c r="Q809" s="42"/>
      <c r="R809" s="35">
        <f t="shared" si="179"/>
        <v>0</v>
      </c>
      <c r="S809" s="42"/>
      <c r="T809" s="42"/>
      <c r="U809" s="42"/>
      <c r="V809" s="61"/>
      <c r="W809" s="37"/>
      <c r="X809" s="37"/>
    </row>
    <row r="810" spans="1:24" ht="12.75">
      <c r="A810" s="39"/>
      <c r="B810" s="40"/>
      <c r="C810" s="39"/>
      <c r="D810" s="41"/>
      <c r="E810" s="39"/>
      <c r="F810" s="39">
        <v>142</v>
      </c>
      <c r="G810" s="39" t="s">
        <v>40</v>
      </c>
      <c r="H810" s="42">
        <v>765</v>
      </c>
      <c r="I810" s="42">
        <v>477</v>
      </c>
      <c r="J810" s="42">
        <v>644</v>
      </c>
      <c r="K810" s="42">
        <v>644</v>
      </c>
      <c r="L810" s="42"/>
      <c r="M810" s="42"/>
      <c r="N810" s="42">
        <v>674</v>
      </c>
      <c r="O810" s="42"/>
      <c r="P810" s="42"/>
      <c r="Q810" s="42">
        <f>N810+(N810*0.07)</f>
        <v>721.1800000000001</v>
      </c>
      <c r="R810" s="35">
        <f t="shared" si="179"/>
        <v>107</v>
      </c>
      <c r="S810" s="42"/>
      <c r="T810" s="42">
        <f>Q810*1.08</f>
        <v>778.8744000000002</v>
      </c>
      <c r="U810" s="42">
        <f t="shared" si="188"/>
        <v>841.1843520000002</v>
      </c>
      <c r="V810" s="61"/>
      <c r="W810" s="37">
        <f t="shared" si="185"/>
        <v>135.0104821802935</v>
      </c>
      <c r="X810" s="37">
        <f t="shared" si="187"/>
        <v>104.6583850931677</v>
      </c>
    </row>
    <row r="811" spans="1:24" ht="12.75">
      <c r="A811" s="39"/>
      <c r="B811" s="40"/>
      <c r="C811" s="39"/>
      <c r="D811" s="41"/>
      <c r="E811" s="39"/>
      <c r="F811" s="39">
        <v>147</v>
      </c>
      <c r="G811" s="39" t="s">
        <v>42</v>
      </c>
      <c r="H811" s="42">
        <v>6407</v>
      </c>
      <c r="I811" s="42">
        <v>6407</v>
      </c>
      <c r="J811" s="42">
        <v>7119</v>
      </c>
      <c r="K811" s="42">
        <v>5355</v>
      </c>
      <c r="L811" s="42"/>
      <c r="M811" s="42"/>
      <c r="N811" s="42">
        <v>7140</v>
      </c>
      <c r="O811" s="42"/>
      <c r="P811" s="42"/>
      <c r="Q811" s="42">
        <f>N811+(N811*0.07)</f>
        <v>7639.8</v>
      </c>
      <c r="R811" s="35">
        <f t="shared" si="179"/>
        <v>107</v>
      </c>
      <c r="S811" s="42"/>
      <c r="T811" s="42">
        <f>Q811*1.08</f>
        <v>8250.984</v>
      </c>
      <c r="U811" s="42">
        <f t="shared" si="188"/>
        <v>8911.062720000002</v>
      </c>
      <c r="V811" s="61" t="s">
        <v>333</v>
      </c>
      <c r="W811" s="37">
        <f t="shared" si="185"/>
        <v>111.11284532542531</v>
      </c>
      <c r="X811" s="37">
        <f t="shared" si="187"/>
        <v>100.29498525073745</v>
      </c>
    </row>
    <row r="812" spans="1:24" ht="51">
      <c r="A812" s="39"/>
      <c r="B812" s="40"/>
      <c r="C812" s="39"/>
      <c r="D812" s="41"/>
      <c r="E812" s="39"/>
      <c r="F812" s="39">
        <v>149</v>
      </c>
      <c r="G812" s="39" t="s">
        <v>43</v>
      </c>
      <c r="H812" s="42">
        <v>9076</v>
      </c>
      <c r="I812" s="42">
        <v>15048</v>
      </c>
      <c r="J812" s="42">
        <v>7302</v>
      </c>
      <c r="K812" s="42">
        <v>7741</v>
      </c>
      <c r="L812" s="42"/>
      <c r="M812" s="42"/>
      <c r="N812" s="42">
        <v>13101</v>
      </c>
      <c r="O812" s="42"/>
      <c r="P812" s="42"/>
      <c r="Q812" s="42">
        <v>13500</v>
      </c>
      <c r="R812" s="35">
        <f t="shared" si="179"/>
        <v>103.04556904053126</v>
      </c>
      <c r="S812" s="42"/>
      <c r="T812" s="42">
        <v>14000</v>
      </c>
      <c r="U812" s="42">
        <v>14500</v>
      </c>
      <c r="V812" s="46" t="s">
        <v>334</v>
      </c>
      <c r="W812" s="37">
        <f t="shared" si="185"/>
        <v>48.52472089314195</v>
      </c>
      <c r="X812" s="37">
        <f t="shared" si="187"/>
        <v>179.4165981922761</v>
      </c>
    </row>
    <row r="813" spans="1:24" ht="12.75">
      <c r="A813" s="39"/>
      <c r="B813" s="40"/>
      <c r="C813" s="39"/>
      <c r="D813" s="41"/>
      <c r="E813" s="39"/>
      <c r="F813" s="39">
        <v>151</v>
      </c>
      <c r="G813" s="39" t="s">
        <v>45</v>
      </c>
      <c r="H813" s="42"/>
      <c r="I813" s="42"/>
      <c r="J813" s="42"/>
      <c r="K813" s="42">
        <v>1651</v>
      </c>
      <c r="L813" s="42"/>
      <c r="M813" s="42"/>
      <c r="N813" s="42"/>
      <c r="O813" s="42"/>
      <c r="P813" s="42"/>
      <c r="Q813" s="42"/>
      <c r="R813" s="35" t="e">
        <f t="shared" si="179"/>
        <v>#DIV/0!</v>
      </c>
      <c r="S813" s="42"/>
      <c r="T813" s="42"/>
      <c r="U813" s="35"/>
      <c r="V813" s="61"/>
      <c r="W813" s="37"/>
      <c r="X813" s="37"/>
    </row>
    <row r="814" spans="1:24" ht="12.75">
      <c r="A814" s="39"/>
      <c r="B814" s="40"/>
      <c r="C814" s="39"/>
      <c r="D814" s="41"/>
      <c r="E814" s="39"/>
      <c r="F814" s="39">
        <v>155</v>
      </c>
      <c r="G814" s="39" t="s">
        <v>335</v>
      </c>
      <c r="H814" s="42"/>
      <c r="I814" s="42"/>
      <c r="J814" s="42"/>
      <c r="K814" s="42">
        <v>1764</v>
      </c>
      <c r="L814" s="42"/>
      <c r="M814" s="42"/>
      <c r="N814" s="42"/>
      <c r="O814" s="42"/>
      <c r="P814" s="42"/>
      <c r="Q814" s="42"/>
      <c r="R814" s="35" t="e">
        <f t="shared" si="179"/>
        <v>#DIV/0!</v>
      </c>
      <c r="S814" s="42"/>
      <c r="T814" s="42"/>
      <c r="U814" s="35"/>
      <c r="V814" s="46"/>
      <c r="W814" s="37"/>
      <c r="X814" s="37"/>
    </row>
    <row r="815" spans="1:24" ht="12.75">
      <c r="A815" s="39"/>
      <c r="B815" s="40"/>
      <c r="C815" s="39"/>
      <c r="D815" s="41"/>
      <c r="E815" s="39"/>
      <c r="F815" s="39">
        <v>159</v>
      </c>
      <c r="G815" s="39" t="s">
        <v>46</v>
      </c>
      <c r="H815" s="42">
        <v>7</v>
      </c>
      <c r="I815" s="42">
        <v>22</v>
      </c>
      <c r="J815" s="42">
        <f>I815+(I815*0.07)</f>
        <v>23.54</v>
      </c>
      <c r="K815" s="42">
        <v>24</v>
      </c>
      <c r="L815" s="42"/>
      <c r="M815" s="42"/>
      <c r="N815" s="42">
        <v>26</v>
      </c>
      <c r="O815" s="42"/>
      <c r="P815" s="42"/>
      <c r="Q815" s="42">
        <f>N815+(N815*0.07)</f>
        <v>27.82</v>
      </c>
      <c r="R815" s="35">
        <f t="shared" si="179"/>
        <v>107</v>
      </c>
      <c r="S815" s="42"/>
      <c r="T815" s="42">
        <f>Q815*1.08</f>
        <v>30.045600000000004</v>
      </c>
      <c r="U815" s="42">
        <f>T815*1.08</f>
        <v>32.449248000000004</v>
      </c>
      <c r="V815" s="61"/>
      <c r="W815" s="37">
        <f t="shared" si="185"/>
        <v>107</v>
      </c>
      <c r="X815" s="37">
        <f>N815/J815*100</f>
        <v>110.45029736618521</v>
      </c>
    </row>
    <row r="816" spans="1:24" ht="25.5">
      <c r="A816" s="39"/>
      <c r="B816" s="40"/>
      <c r="C816" s="39"/>
      <c r="D816" s="41">
        <v>13</v>
      </c>
      <c r="E816" s="39"/>
      <c r="F816" s="39"/>
      <c r="G816" s="51" t="s">
        <v>47</v>
      </c>
      <c r="H816" s="42">
        <f>H817</f>
        <v>0</v>
      </c>
      <c r="I816" s="42">
        <f>I817</f>
        <v>0</v>
      </c>
      <c r="J816" s="42">
        <f>J817</f>
        <v>25200</v>
      </c>
      <c r="K816" s="42"/>
      <c r="L816" s="42"/>
      <c r="M816" s="42"/>
      <c r="N816" s="42">
        <f>N817</f>
        <v>0</v>
      </c>
      <c r="O816" s="42"/>
      <c r="P816" s="42"/>
      <c r="Q816" s="42"/>
      <c r="R816" s="35" t="e">
        <f t="shared" si="179"/>
        <v>#DIV/0!</v>
      </c>
      <c r="S816" s="42"/>
      <c r="T816" s="47"/>
      <c r="U816" s="35"/>
      <c r="V816" s="46" t="s">
        <v>336</v>
      </c>
      <c r="W816" s="37"/>
      <c r="X816" s="37"/>
    </row>
    <row r="817" spans="1:24" ht="25.5">
      <c r="A817" s="39"/>
      <c r="B817" s="40"/>
      <c r="C817" s="39"/>
      <c r="D817" s="41"/>
      <c r="E817" s="39"/>
      <c r="F817" s="39">
        <v>411</v>
      </c>
      <c r="G817" s="39" t="s">
        <v>49</v>
      </c>
      <c r="H817" s="42"/>
      <c r="I817" s="42">
        <f>H817+(H817*0.08)</f>
        <v>0</v>
      </c>
      <c r="J817" s="42">
        <v>25200</v>
      </c>
      <c r="K817" s="42"/>
      <c r="L817" s="42"/>
      <c r="M817" s="42"/>
      <c r="N817" s="42"/>
      <c r="O817" s="42"/>
      <c r="P817" s="42"/>
      <c r="Q817" s="42"/>
      <c r="R817" s="35" t="e">
        <f t="shared" si="179"/>
        <v>#DIV/0!</v>
      </c>
      <c r="S817" s="42"/>
      <c r="T817" s="47"/>
      <c r="U817" s="35"/>
      <c r="V817" s="61"/>
      <c r="W817" s="37"/>
      <c r="X817" s="37"/>
    </row>
    <row r="818" spans="1:24" ht="38.25">
      <c r="A818" s="39"/>
      <c r="B818" s="40"/>
      <c r="C818" s="39"/>
      <c r="D818" s="41">
        <v>40</v>
      </c>
      <c r="E818" s="39"/>
      <c r="F818" s="39"/>
      <c r="G818" s="51" t="s">
        <v>337</v>
      </c>
      <c r="H818" s="42"/>
      <c r="I818" s="42"/>
      <c r="J818" s="42"/>
      <c r="K818" s="42"/>
      <c r="L818" s="42"/>
      <c r="M818" s="42"/>
      <c r="N818" s="42"/>
      <c r="O818" s="42"/>
      <c r="P818" s="42"/>
      <c r="Q818" s="42">
        <v>1905</v>
      </c>
      <c r="R818" s="35"/>
      <c r="S818" s="42"/>
      <c r="T818" s="47"/>
      <c r="U818" s="35"/>
      <c r="V818" s="61"/>
      <c r="W818" s="37"/>
      <c r="X818" s="37"/>
    </row>
    <row r="819" spans="1:24" ht="25.5">
      <c r="A819" s="39"/>
      <c r="B819" s="40"/>
      <c r="C819" s="39"/>
      <c r="D819" s="41">
        <v>43</v>
      </c>
      <c r="E819" s="39"/>
      <c r="F819" s="39"/>
      <c r="G819" s="51" t="s">
        <v>338</v>
      </c>
      <c r="H819" s="42"/>
      <c r="I819" s="42"/>
      <c r="J819" s="42"/>
      <c r="K819" s="42"/>
      <c r="L819" s="42"/>
      <c r="M819" s="42"/>
      <c r="N819" s="42"/>
      <c r="O819" s="42"/>
      <c r="P819" s="42"/>
      <c r="Q819" s="42">
        <v>126802</v>
      </c>
      <c r="R819" s="35"/>
      <c r="S819" s="42"/>
      <c r="T819" s="47"/>
      <c r="U819" s="35"/>
      <c r="V819" s="61"/>
      <c r="W819" s="37"/>
      <c r="X819" s="37"/>
    </row>
    <row r="820" spans="1:24" ht="76.5">
      <c r="A820" s="39"/>
      <c r="B820" s="40"/>
      <c r="C820" s="39">
        <v>467</v>
      </c>
      <c r="D820" s="41"/>
      <c r="E820" s="39"/>
      <c r="F820" s="39"/>
      <c r="G820" s="39" t="s">
        <v>202</v>
      </c>
      <c r="H820" s="39" t="s">
        <v>202</v>
      </c>
      <c r="I820" s="42"/>
      <c r="J820" s="42"/>
      <c r="K820" s="42"/>
      <c r="L820" s="42"/>
      <c r="M820" s="42"/>
      <c r="N820" s="42"/>
      <c r="O820" s="42"/>
      <c r="P820" s="42"/>
      <c r="Q820" s="42">
        <f>Q821</f>
        <v>30565</v>
      </c>
      <c r="R820" s="35"/>
      <c r="S820" s="42"/>
      <c r="T820" s="47"/>
      <c r="U820" s="35"/>
      <c r="V820" s="61"/>
      <c r="W820" s="37"/>
      <c r="X820" s="37"/>
    </row>
    <row r="821" spans="1:24" ht="25.5">
      <c r="A821" s="39"/>
      <c r="B821" s="40"/>
      <c r="C821" s="39"/>
      <c r="D821" s="41">
        <v>77</v>
      </c>
      <c r="E821" s="39"/>
      <c r="F821" s="39"/>
      <c r="G821" s="51" t="s">
        <v>338</v>
      </c>
      <c r="H821" s="42"/>
      <c r="I821" s="42"/>
      <c r="J821" s="42"/>
      <c r="K821" s="42"/>
      <c r="L821" s="42"/>
      <c r="M821" s="42"/>
      <c r="N821" s="42"/>
      <c r="O821" s="42"/>
      <c r="P821" s="42"/>
      <c r="Q821" s="42">
        <v>30565</v>
      </c>
      <c r="R821" s="35"/>
      <c r="S821" s="42"/>
      <c r="T821" s="47"/>
      <c r="U821" s="35"/>
      <c r="V821" s="61"/>
      <c r="W821" s="37"/>
      <c r="X821" s="37"/>
    </row>
    <row r="822" spans="1:24" ht="12.75">
      <c r="A822" s="39">
        <v>14</v>
      </c>
      <c r="B822" s="40"/>
      <c r="C822" s="39"/>
      <c r="D822" s="41"/>
      <c r="E822" s="39"/>
      <c r="F822" s="39"/>
      <c r="G822" s="51" t="s">
        <v>339</v>
      </c>
      <c r="H822" s="42"/>
      <c r="I822" s="42"/>
      <c r="J822" s="42"/>
      <c r="K822" s="42"/>
      <c r="L822" s="42"/>
      <c r="M822" s="42"/>
      <c r="N822" s="42">
        <f>N823</f>
        <v>229</v>
      </c>
      <c r="O822" s="42"/>
      <c r="P822" s="42"/>
      <c r="Q822" s="42"/>
      <c r="R822" s="35">
        <f t="shared" si="179"/>
        <v>0</v>
      </c>
      <c r="S822" s="42"/>
      <c r="T822" s="47"/>
      <c r="U822" s="35"/>
      <c r="V822" s="61"/>
      <c r="W822" s="37"/>
      <c r="X822" s="37"/>
    </row>
    <row r="823" spans="1:24" ht="25.5">
      <c r="A823" s="39"/>
      <c r="B823" s="40" t="s">
        <v>28</v>
      </c>
      <c r="C823" s="39"/>
      <c r="D823" s="41"/>
      <c r="E823" s="39"/>
      <c r="F823" s="39"/>
      <c r="G823" s="39" t="s">
        <v>339</v>
      </c>
      <c r="H823" s="42"/>
      <c r="I823" s="42"/>
      <c r="J823" s="42"/>
      <c r="K823" s="42"/>
      <c r="L823" s="42"/>
      <c r="M823" s="42"/>
      <c r="N823" s="42">
        <f>N824</f>
        <v>229</v>
      </c>
      <c r="O823" s="42"/>
      <c r="P823" s="42"/>
      <c r="Q823" s="42"/>
      <c r="R823" s="35">
        <f t="shared" si="179"/>
        <v>0</v>
      </c>
      <c r="S823" s="42"/>
      <c r="T823" s="47"/>
      <c r="U823" s="35"/>
      <c r="V823" s="61"/>
      <c r="W823" s="37"/>
      <c r="X823" s="37"/>
    </row>
    <row r="824" spans="1:24" ht="25.5">
      <c r="A824" s="76"/>
      <c r="B824" s="39"/>
      <c r="C824" s="39">
        <v>452</v>
      </c>
      <c r="D824" s="41"/>
      <c r="E824" s="39"/>
      <c r="F824" s="39"/>
      <c r="G824" s="39" t="s">
        <v>71</v>
      </c>
      <c r="H824" s="42"/>
      <c r="I824" s="42"/>
      <c r="J824" s="42"/>
      <c r="K824" s="42"/>
      <c r="L824" s="42"/>
      <c r="M824" s="42"/>
      <c r="N824" s="42">
        <f>N825</f>
        <v>229</v>
      </c>
      <c r="O824" s="42"/>
      <c r="P824" s="42"/>
      <c r="Q824" s="42"/>
      <c r="R824" s="35">
        <f t="shared" si="179"/>
        <v>0</v>
      </c>
      <c r="S824" s="42"/>
      <c r="T824" s="47"/>
      <c r="U824" s="35"/>
      <c r="V824" s="61"/>
      <c r="W824" s="37"/>
      <c r="X824" s="37"/>
    </row>
    <row r="825" spans="1:24" ht="38.25">
      <c r="A825" s="39"/>
      <c r="B825" s="40"/>
      <c r="C825" s="39"/>
      <c r="D825" s="41">
        <v>13</v>
      </c>
      <c r="E825" s="39"/>
      <c r="F825" s="39"/>
      <c r="G825" s="39" t="s">
        <v>340</v>
      </c>
      <c r="H825" s="42"/>
      <c r="I825" s="42"/>
      <c r="J825" s="42"/>
      <c r="K825" s="42"/>
      <c r="L825" s="42"/>
      <c r="M825" s="42"/>
      <c r="N825" s="42">
        <v>229</v>
      </c>
      <c r="O825" s="42"/>
      <c r="P825" s="42"/>
      <c r="Q825" s="42"/>
      <c r="R825" s="35">
        <f t="shared" si="179"/>
        <v>0</v>
      </c>
      <c r="S825" s="42"/>
      <c r="T825" s="47"/>
      <c r="U825" s="35"/>
      <c r="V825" s="61"/>
      <c r="W825" s="37"/>
      <c r="X825" s="37"/>
    </row>
    <row r="826" spans="1:24" ht="12.75">
      <c r="A826" s="39">
        <v>15</v>
      </c>
      <c r="B826" s="40"/>
      <c r="C826" s="39"/>
      <c r="D826" s="41"/>
      <c r="E826" s="39"/>
      <c r="F826" s="39"/>
      <c r="G826" s="34" t="s">
        <v>341</v>
      </c>
      <c r="H826" s="42" t="e">
        <f>H827</f>
        <v>#REF!</v>
      </c>
      <c r="I826" s="42">
        <f>I827</f>
        <v>0</v>
      </c>
      <c r="J826" s="42">
        <f>J827</f>
        <v>0</v>
      </c>
      <c r="K826" s="42"/>
      <c r="L826" s="42"/>
      <c r="M826" s="42"/>
      <c r="N826" s="42">
        <f>N827</f>
        <v>4356</v>
      </c>
      <c r="O826" s="42">
        <f>O827</f>
        <v>0</v>
      </c>
      <c r="P826" s="42">
        <f>P827</f>
        <v>0</v>
      </c>
      <c r="Q826" s="42">
        <f>Q827</f>
        <v>4356</v>
      </c>
      <c r="R826" s="35">
        <f t="shared" si="179"/>
        <v>100</v>
      </c>
      <c r="S826" s="42"/>
      <c r="T826" s="47"/>
      <c r="U826" s="35"/>
      <c r="V826" s="61"/>
      <c r="W826" s="37"/>
      <c r="X826" s="37"/>
    </row>
    <row r="827" spans="1:24" ht="25.5">
      <c r="A827" s="39"/>
      <c r="B827" s="40" t="s">
        <v>28</v>
      </c>
      <c r="C827" s="39"/>
      <c r="D827" s="41"/>
      <c r="E827" s="39"/>
      <c r="F827" s="39"/>
      <c r="G827" s="39" t="s">
        <v>341</v>
      </c>
      <c r="H827" s="42" t="e">
        <f>H828</f>
        <v>#REF!</v>
      </c>
      <c r="I827" s="42">
        <f>I828</f>
        <v>0</v>
      </c>
      <c r="J827" s="42">
        <f>J828</f>
        <v>0</v>
      </c>
      <c r="K827" s="42"/>
      <c r="L827" s="42"/>
      <c r="M827" s="42"/>
      <c r="N827" s="42">
        <f>N828</f>
        <v>4356</v>
      </c>
      <c r="O827" s="42">
        <f>O828</f>
        <v>0</v>
      </c>
      <c r="P827" s="42">
        <f>P828</f>
        <v>0</v>
      </c>
      <c r="Q827" s="42">
        <f>Q828</f>
        <v>4356</v>
      </c>
      <c r="R827" s="35">
        <f t="shared" si="179"/>
        <v>100</v>
      </c>
      <c r="S827" s="42"/>
      <c r="T827" s="47"/>
      <c r="U827" s="35"/>
      <c r="V827" s="61"/>
      <c r="W827" s="37"/>
      <c r="X827" s="37"/>
    </row>
    <row r="828" spans="1:24" ht="25.5">
      <c r="A828" s="39"/>
      <c r="B828" s="40"/>
      <c r="C828" s="39">
        <v>452</v>
      </c>
      <c r="D828" s="41"/>
      <c r="E828" s="39"/>
      <c r="F828" s="39"/>
      <c r="G828" s="39" t="s">
        <v>71</v>
      </c>
      <c r="H828" s="42" t="e">
        <f>#REF!+H829+H831</f>
        <v>#REF!</v>
      </c>
      <c r="I828" s="42">
        <f>+I829+I831</f>
        <v>0</v>
      </c>
      <c r="J828" s="42">
        <f>+J829+J831</f>
        <v>0</v>
      </c>
      <c r="K828" s="42"/>
      <c r="L828" s="42"/>
      <c r="M828" s="42"/>
      <c r="N828" s="42">
        <f>N834</f>
        <v>4356</v>
      </c>
      <c r="O828" s="42">
        <f>O834</f>
        <v>0</v>
      </c>
      <c r="P828" s="42">
        <f>P834</f>
        <v>0</v>
      </c>
      <c r="Q828" s="42">
        <f>Q834</f>
        <v>4356</v>
      </c>
      <c r="R828" s="42">
        <f>R834</f>
        <v>100</v>
      </c>
      <c r="S828" s="42">
        <f>S834</f>
        <v>0</v>
      </c>
      <c r="T828" s="47"/>
      <c r="U828" s="35"/>
      <c r="V828" s="61"/>
      <c r="W828" s="37"/>
      <c r="X828" s="37"/>
    </row>
    <row r="829" spans="1:24" ht="12.75">
      <c r="A829" s="39"/>
      <c r="B829" s="40"/>
      <c r="C829" s="39"/>
      <c r="D829" s="41">
        <v>7</v>
      </c>
      <c r="E829" s="39" t="s">
        <v>67</v>
      </c>
      <c r="F829" s="39"/>
      <c r="G829" s="39" t="s">
        <v>342</v>
      </c>
      <c r="H829" s="42">
        <f>H830</f>
        <v>0</v>
      </c>
      <c r="I829" s="42">
        <f>I830</f>
        <v>0</v>
      </c>
      <c r="J829" s="42">
        <f>J830</f>
        <v>0</v>
      </c>
      <c r="K829" s="42"/>
      <c r="L829" s="42"/>
      <c r="M829" s="42"/>
      <c r="N829" s="42">
        <f>N830</f>
        <v>0</v>
      </c>
      <c r="O829" s="42"/>
      <c r="P829" s="42"/>
      <c r="Q829" s="42"/>
      <c r="R829" s="35" t="e">
        <f t="shared" si="179"/>
        <v>#DIV/0!</v>
      </c>
      <c r="S829" s="42"/>
      <c r="T829" s="47"/>
      <c r="U829" s="35"/>
      <c r="V829" s="61"/>
      <c r="W829" s="37"/>
      <c r="X829" s="37"/>
    </row>
    <row r="830" spans="1:24" ht="12.75">
      <c r="A830" s="39"/>
      <c r="B830" s="40"/>
      <c r="C830" s="39"/>
      <c r="D830" s="41"/>
      <c r="E830" s="39"/>
      <c r="F830" s="39">
        <v>342</v>
      </c>
      <c r="G830" s="39" t="s">
        <v>342</v>
      </c>
      <c r="H830" s="42">
        <v>0</v>
      </c>
      <c r="I830" s="42">
        <v>0</v>
      </c>
      <c r="J830" s="42">
        <v>0</v>
      </c>
      <c r="K830" s="42"/>
      <c r="L830" s="42"/>
      <c r="M830" s="42"/>
      <c r="N830" s="42">
        <v>0</v>
      </c>
      <c r="O830" s="42"/>
      <c r="P830" s="42"/>
      <c r="Q830" s="42"/>
      <c r="R830" s="35" t="e">
        <f t="shared" si="179"/>
        <v>#DIV/0!</v>
      </c>
      <c r="S830" s="42"/>
      <c r="T830" s="47"/>
      <c r="U830" s="35"/>
      <c r="V830" s="61"/>
      <c r="W830" s="37"/>
      <c r="X830" s="37"/>
    </row>
    <row r="831" spans="1:24" ht="25.5">
      <c r="A831" s="39"/>
      <c r="B831" s="40"/>
      <c r="C831" s="39"/>
      <c r="D831" s="41">
        <v>8</v>
      </c>
      <c r="E831" s="39"/>
      <c r="F831" s="39"/>
      <c r="G831" s="39" t="s">
        <v>343</v>
      </c>
      <c r="H831" s="42">
        <f aca="true" t="shared" si="189" ref="H831:N832">H832</f>
        <v>0</v>
      </c>
      <c r="I831" s="42">
        <f t="shared" si="189"/>
        <v>0</v>
      </c>
      <c r="J831" s="42">
        <f t="shared" si="189"/>
        <v>0</v>
      </c>
      <c r="K831" s="42"/>
      <c r="L831" s="42"/>
      <c r="M831" s="42"/>
      <c r="N831" s="42">
        <f t="shared" si="189"/>
        <v>0</v>
      </c>
      <c r="O831" s="42"/>
      <c r="P831" s="42"/>
      <c r="Q831" s="42"/>
      <c r="R831" s="35" t="e">
        <f t="shared" si="179"/>
        <v>#DIV/0!</v>
      </c>
      <c r="S831" s="42"/>
      <c r="T831" s="47"/>
      <c r="U831" s="35"/>
      <c r="V831" s="61"/>
      <c r="W831" s="37"/>
      <c r="X831" s="37"/>
    </row>
    <row r="832" spans="1:24" ht="12.75">
      <c r="A832" s="39"/>
      <c r="B832" s="40"/>
      <c r="C832" s="39"/>
      <c r="D832" s="41"/>
      <c r="E832" s="39">
        <v>101</v>
      </c>
      <c r="F832" s="39"/>
      <c r="G832" s="39" t="s">
        <v>344</v>
      </c>
      <c r="H832" s="42">
        <f t="shared" si="189"/>
        <v>0</v>
      </c>
      <c r="I832" s="42">
        <f t="shared" si="189"/>
        <v>0</v>
      </c>
      <c r="J832" s="42">
        <f t="shared" si="189"/>
        <v>0</v>
      </c>
      <c r="K832" s="42"/>
      <c r="L832" s="42"/>
      <c r="M832" s="42"/>
      <c r="N832" s="42">
        <f t="shared" si="189"/>
        <v>0</v>
      </c>
      <c r="O832" s="42"/>
      <c r="P832" s="42"/>
      <c r="Q832" s="42"/>
      <c r="R832" s="35" t="e">
        <f t="shared" si="179"/>
        <v>#DIV/0!</v>
      </c>
      <c r="S832" s="42"/>
      <c r="T832" s="47"/>
      <c r="U832" s="35"/>
      <c r="V832" s="61"/>
      <c r="W832" s="37"/>
      <c r="X832" s="37"/>
    </row>
    <row r="833" spans="1:24" ht="12.75">
      <c r="A833" s="39"/>
      <c r="B833" s="40"/>
      <c r="C833" s="39"/>
      <c r="D833" s="41"/>
      <c r="E833" s="39"/>
      <c r="F833" s="39">
        <v>369</v>
      </c>
      <c r="G833" s="39" t="s">
        <v>345</v>
      </c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35" t="e">
        <f t="shared" si="179"/>
        <v>#DIV/0!</v>
      </c>
      <c r="S833" s="42"/>
      <c r="T833" s="47"/>
      <c r="U833" s="35"/>
      <c r="V833" s="61"/>
      <c r="W833" s="37"/>
      <c r="X833" s="37"/>
    </row>
    <row r="834" spans="1:24" ht="51">
      <c r="A834" s="39"/>
      <c r="B834" s="40"/>
      <c r="C834" s="39"/>
      <c r="D834" s="41">
        <v>24</v>
      </c>
      <c r="E834" s="39"/>
      <c r="F834" s="39"/>
      <c r="G834" s="39" t="s">
        <v>346</v>
      </c>
      <c r="H834" s="42"/>
      <c r="I834" s="42"/>
      <c r="J834" s="42"/>
      <c r="K834" s="42"/>
      <c r="L834" s="42"/>
      <c r="M834" s="42"/>
      <c r="N834" s="42">
        <v>4356</v>
      </c>
      <c r="O834" s="42"/>
      <c r="P834" s="42"/>
      <c r="Q834" s="42">
        <v>4356</v>
      </c>
      <c r="R834" s="35">
        <f t="shared" si="179"/>
        <v>100</v>
      </c>
      <c r="S834" s="42"/>
      <c r="T834" s="47"/>
      <c r="U834" s="35"/>
      <c r="V834" s="61"/>
      <c r="W834" s="37"/>
      <c r="X834" s="37"/>
    </row>
    <row r="835" spans="1:24" ht="12.75">
      <c r="A835" s="39"/>
      <c r="B835" s="40"/>
      <c r="C835" s="39"/>
      <c r="D835" s="41"/>
      <c r="E835" s="39"/>
      <c r="F835" s="39"/>
      <c r="G835" s="39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35" t="e">
        <f t="shared" si="179"/>
        <v>#DIV/0!</v>
      </c>
      <c r="S835" s="42"/>
      <c r="T835" s="47"/>
      <c r="U835" s="35"/>
      <c r="V835" s="61"/>
      <c r="W835" s="37"/>
      <c r="X835" s="37"/>
    </row>
    <row r="836" spans="1:24" ht="12.75">
      <c r="A836" s="39">
        <v>16</v>
      </c>
      <c r="B836" s="40"/>
      <c r="C836" s="39"/>
      <c r="D836" s="41"/>
      <c r="E836" s="39"/>
      <c r="F836" s="39"/>
      <c r="G836" s="34" t="s">
        <v>347</v>
      </c>
      <c r="H836" s="42">
        <f aca="true" t="shared" si="190" ref="H836:U837">H837</f>
        <v>0</v>
      </c>
      <c r="I836" s="42">
        <f t="shared" si="190"/>
        <v>1100000</v>
      </c>
      <c r="J836" s="42">
        <f t="shared" si="190"/>
        <v>305382</v>
      </c>
      <c r="K836" s="42"/>
      <c r="L836" s="42">
        <v>350506</v>
      </c>
      <c r="M836" s="42">
        <v>350506</v>
      </c>
      <c r="N836" s="42">
        <f t="shared" si="190"/>
        <v>358092</v>
      </c>
      <c r="O836" s="42"/>
      <c r="P836" s="42"/>
      <c r="Q836" s="42">
        <f t="shared" si="190"/>
        <v>312067</v>
      </c>
      <c r="R836" s="35">
        <f t="shared" si="179"/>
        <v>87.14715771366018</v>
      </c>
      <c r="S836" s="42"/>
      <c r="T836" s="42">
        <f t="shared" si="190"/>
        <v>2320000</v>
      </c>
      <c r="U836" s="42">
        <f t="shared" si="190"/>
        <v>2925000</v>
      </c>
      <c r="V836" s="61"/>
      <c r="W836" s="37"/>
      <c r="X836" s="37"/>
    </row>
    <row r="837" spans="1:24" ht="25.5">
      <c r="A837" s="39"/>
      <c r="B837" s="40" t="s">
        <v>28</v>
      </c>
      <c r="C837" s="39"/>
      <c r="D837" s="41"/>
      <c r="E837" s="39"/>
      <c r="F837" s="39"/>
      <c r="G837" s="39" t="s">
        <v>348</v>
      </c>
      <c r="H837" s="42">
        <f t="shared" si="190"/>
        <v>0</v>
      </c>
      <c r="I837" s="42">
        <f t="shared" si="190"/>
        <v>1100000</v>
      </c>
      <c r="J837" s="42">
        <f t="shared" si="190"/>
        <v>305382</v>
      </c>
      <c r="K837" s="42"/>
      <c r="L837" s="42"/>
      <c r="M837" s="42"/>
      <c r="N837" s="42">
        <f t="shared" si="190"/>
        <v>358092</v>
      </c>
      <c r="O837" s="42"/>
      <c r="P837" s="42"/>
      <c r="Q837" s="42">
        <f t="shared" si="190"/>
        <v>312067</v>
      </c>
      <c r="R837" s="35">
        <f t="shared" si="179"/>
        <v>87.14715771366018</v>
      </c>
      <c r="S837" s="42"/>
      <c r="T837" s="42">
        <f t="shared" si="190"/>
        <v>2320000</v>
      </c>
      <c r="U837" s="42">
        <f t="shared" si="190"/>
        <v>2925000</v>
      </c>
      <c r="V837" s="61"/>
      <c r="W837" s="37"/>
      <c r="X837" s="37"/>
    </row>
    <row r="838" spans="1:24" ht="25.5">
      <c r="A838" s="39"/>
      <c r="B838" s="40"/>
      <c r="C838" s="39">
        <v>452</v>
      </c>
      <c r="D838" s="41"/>
      <c r="E838" s="39"/>
      <c r="F838" s="39"/>
      <c r="G838" s="39" t="s">
        <v>71</v>
      </c>
      <c r="H838" s="42">
        <f>H841</f>
        <v>0</v>
      </c>
      <c r="I838" s="42">
        <f>I841</f>
        <v>1100000</v>
      </c>
      <c r="J838" s="42">
        <f>J841</f>
        <v>305382</v>
      </c>
      <c r="K838" s="42"/>
      <c r="L838" s="42"/>
      <c r="M838" s="42"/>
      <c r="N838" s="42">
        <f>N839</f>
        <v>358092</v>
      </c>
      <c r="O838" s="42"/>
      <c r="P838" s="42"/>
      <c r="Q838" s="42">
        <f>Q839</f>
        <v>312067</v>
      </c>
      <c r="R838" s="35">
        <f t="shared" si="179"/>
        <v>87.14715771366018</v>
      </c>
      <c r="S838" s="42"/>
      <c r="T838" s="42">
        <f>T839</f>
        <v>2320000</v>
      </c>
      <c r="U838" s="42">
        <f>U839</f>
        <v>2925000</v>
      </c>
      <c r="V838" s="61"/>
      <c r="W838" s="37"/>
      <c r="X838" s="37"/>
    </row>
    <row r="839" spans="1:26" ht="25.5">
      <c r="A839" s="39"/>
      <c r="B839" s="40"/>
      <c r="C839" s="39"/>
      <c r="D839" s="41">
        <v>8</v>
      </c>
      <c r="E839" s="39"/>
      <c r="F839" s="39"/>
      <c r="G839" s="77" t="s">
        <v>349</v>
      </c>
      <c r="H839" s="42"/>
      <c r="I839" s="42">
        <f>I841</f>
        <v>1100000</v>
      </c>
      <c r="J839" s="42">
        <f>J841</f>
        <v>305382</v>
      </c>
      <c r="K839" s="42">
        <f aca="true" t="shared" si="191" ref="K839:U839">K841</f>
        <v>0</v>
      </c>
      <c r="L839" s="42">
        <f t="shared" si="191"/>
        <v>0</v>
      </c>
      <c r="M839" s="42">
        <f t="shared" si="191"/>
        <v>0</v>
      </c>
      <c r="N839" s="42">
        <f t="shared" si="191"/>
        <v>358092</v>
      </c>
      <c r="O839" s="42">
        <f t="shared" si="191"/>
        <v>0</v>
      </c>
      <c r="P839" s="42"/>
      <c r="Q839" s="42">
        <f t="shared" si="191"/>
        <v>312067</v>
      </c>
      <c r="R839" s="35">
        <f t="shared" si="179"/>
        <v>87.14715771366018</v>
      </c>
      <c r="S839" s="42"/>
      <c r="T839" s="42">
        <f t="shared" si="191"/>
        <v>2320000</v>
      </c>
      <c r="U839" s="42">
        <f t="shared" si="191"/>
        <v>2925000</v>
      </c>
      <c r="V839" s="61"/>
      <c r="W839" s="37"/>
      <c r="X839" s="37"/>
      <c r="Y839" s="59"/>
      <c r="Z839" s="59"/>
    </row>
    <row r="840" spans="1:26" ht="12.75">
      <c r="A840" s="39"/>
      <c r="B840" s="40"/>
      <c r="C840" s="39"/>
      <c r="D840" s="41"/>
      <c r="E840" s="39" t="s">
        <v>350</v>
      </c>
      <c r="F840" s="39"/>
      <c r="G840" s="67" t="s">
        <v>351</v>
      </c>
      <c r="H840" s="42"/>
      <c r="I840" s="42"/>
      <c r="J840" s="42"/>
      <c r="K840" s="42"/>
      <c r="L840" s="42"/>
      <c r="M840" s="42"/>
      <c r="N840" s="42">
        <f>350506+7586</f>
        <v>358092</v>
      </c>
      <c r="O840" s="42"/>
      <c r="P840" s="42"/>
      <c r="Q840" s="42">
        <f>Q841</f>
        <v>312067</v>
      </c>
      <c r="R840" s="35">
        <f t="shared" si="179"/>
        <v>87.14715771366018</v>
      </c>
      <c r="S840" s="42"/>
      <c r="T840" s="47"/>
      <c r="U840" s="35"/>
      <c r="V840" s="61"/>
      <c r="W840" s="37"/>
      <c r="X840" s="37"/>
      <c r="Y840" s="59"/>
      <c r="Z840" s="59"/>
    </row>
    <row r="841" spans="1:26" ht="25.5">
      <c r="A841" s="39"/>
      <c r="B841" s="40"/>
      <c r="C841" s="39"/>
      <c r="D841" s="41"/>
      <c r="E841" s="39"/>
      <c r="F841" s="39">
        <v>711</v>
      </c>
      <c r="G841" s="39" t="s">
        <v>352</v>
      </c>
      <c r="H841" s="42"/>
      <c r="I841" s="42">
        <v>1100000</v>
      </c>
      <c r="J841" s="42">
        <v>305382</v>
      </c>
      <c r="K841" s="42"/>
      <c r="L841" s="42"/>
      <c r="M841" s="42"/>
      <c r="N841" s="42">
        <v>358092</v>
      </c>
      <c r="O841" s="42"/>
      <c r="P841" s="42"/>
      <c r="Q841" s="42">
        <v>312067</v>
      </c>
      <c r="R841" s="35">
        <f t="shared" si="179"/>
        <v>87.14715771366018</v>
      </c>
      <c r="S841" s="42"/>
      <c r="T841" s="47">
        <v>2320000</v>
      </c>
      <c r="U841" s="35">
        <v>2925000</v>
      </c>
      <c r="V841" s="61"/>
      <c r="W841" s="37"/>
      <c r="X841" s="37"/>
      <c r="Y841" s="59"/>
      <c r="Z841" s="59"/>
    </row>
    <row r="842" spans="1:26" s="80" customFormat="1" ht="12.75">
      <c r="A842" s="39"/>
      <c r="B842" s="40"/>
      <c r="C842" s="39"/>
      <c r="D842" s="41"/>
      <c r="E842" s="39"/>
      <c r="F842" s="39"/>
      <c r="G842" s="45" t="s">
        <v>353</v>
      </c>
      <c r="H842" s="78" t="e">
        <f aca="true" t="shared" si="192" ref="H842:M842">H8+H129+H148+H153+H302+H424+H524+H648+H657+H711+H743+H763+H826+H836</f>
        <v>#REF!</v>
      </c>
      <c r="I842" s="78">
        <f t="shared" si="192"/>
        <v>8323836.872</v>
      </c>
      <c r="J842" s="78">
        <f t="shared" si="192"/>
        <v>9996241.116200002</v>
      </c>
      <c r="K842" s="78">
        <f t="shared" si="192"/>
        <v>0</v>
      </c>
      <c r="L842" s="78">
        <f t="shared" si="192"/>
        <v>350506</v>
      </c>
      <c r="M842" s="78">
        <f t="shared" si="192"/>
        <v>350506</v>
      </c>
      <c r="N842" s="78">
        <f>N8+N129+N148+N153+N302+N424+N524+N648+N657+N711+N743+N763+N826+N836+N822</f>
        <v>10781528.143060002</v>
      </c>
      <c r="O842" s="78">
        <f>O8+O129+O148+O153+O302+O424+O524+O648+O657+O711+O743+O763+O826+O836+O822</f>
        <v>0</v>
      </c>
      <c r="P842" s="78"/>
      <c r="Q842" s="78">
        <f>Q8+Q129+Q148+Q153+Q302+Q424+Q524+Q648+Q657+Q711+Q743+Q763+Q826+Q836+Q822</f>
        <v>17518341.31968084</v>
      </c>
      <c r="R842" s="35">
        <f t="shared" si="179"/>
        <v>162.4847710568495</v>
      </c>
      <c r="S842" s="78"/>
      <c r="T842" s="78">
        <f>T8+T129+T148+T153+T302+T424+T524+T648+T657+T711+T743+T763+T826+T836</f>
        <v>16001124.625101307</v>
      </c>
      <c r="U842" s="78">
        <f>U8+U129+U148+U153+U302+U424+U524+U648+U657+U711+U743+U763+U826+U836</f>
        <v>17999657.319406606</v>
      </c>
      <c r="V842" s="61"/>
      <c r="W842" s="37">
        <f>J842/I842*100</f>
        <v>120.09174699020942</v>
      </c>
      <c r="X842" s="37">
        <f>N842/J842*100</f>
        <v>107.85582318124918</v>
      </c>
      <c r="Y842" s="79"/>
      <c r="Z842" s="79"/>
    </row>
    <row r="843" spans="1:26" ht="15">
      <c r="A843" s="3"/>
      <c r="B843" s="8"/>
      <c r="C843" s="3"/>
      <c r="D843" s="9"/>
      <c r="E843" s="3"/>
      <c r="F843" s="3"/>
      <c r="G843" s="3"/>
      <c r="H843" s="81"/>
      <c r="I843" s="81"/>
      <c r="J843" s="81"/>
      <c r="K843" s="81"/>
      <c r="L843" s="81"/>
      <c r="M843" s="81"/>
      <c r="N843" s="82"/>
      <c r="O843" s="83"/>
      <c r="P843" s="83"/>
      <c r="Q843" s="83">
        <v>10686594</v>
      </c>
      <c r="R843" s="83"/>
      <c r="S843" s="83"/>
      <c r="T843" s="84">
        <v>12984497</v>
      </c>
      <c r="U843" s="84">
        <v>14292619</v>
      </c>
      <c r="V843" s="3"/>
      <c r="W843" s="59"/>
      <c r="X843" s="59"/>
      <c r="Y843" s="59"/>
      <c r="Z843" s="59"/>
    </row>
    <row r="844" spans="1:26" ht="15">
      <c r="A844" s="3"/>
      <c r="B844" s="3"/>
      <c r="C844" s="3"/>
      <c r="D844" s="3"/>
      <c r="E844" s="3"/>
      <c r="F844" s="3"/>
      <c r="G844" s="3"/>
      <c r="H844" s="3"/>
      <c r="I844" s="3"/>
      <c r="J844" s="85"/>
      <c r="K844" s="85"/>
      <c r="L844" s="85"/>
      <c r="M844" s="85"/>
      <c r="N844" s="86"/>
      <c r="O844" s="87"/>
      <c r="P844" s="87"/>
      <c r="Q844" s="88">
        <f>Q843-Q842</f>
        <v>-6831747.31968084</v>
      </c>
      <c r="R844" s="88"/>
      <c r="S844" s="88"/>
      <c r="T844" s="88">
        <f>T843-T842</f>
        <v>-3016627.6251013074</v>
      </c>
      <c r="U844" s="88">
        <f>U843-U842</f>
        <v>-3707038.3194066063</v>
      </c>
      <c r="V844" s="3"/>
      <c r="W844" s="59"/>
      <c r="X844" s="59"/>
      <c r="Y844" s="59"/>
      <c r="Z844" s="59"/>
    </row>
    <row r="845" spans="1:22" ht="15.75">
      <c r="A845" s="3"/>
      <c r="B845" s="3"/>
      <c r="C845" s="3"/>
      <c r="D845" s="89"/>
      <c r="E845" s="2"/>
      <c r="F845" s="2"/>
      <c r="G845" s="90"/>
      <c r="H845" s="2"/>
      <c r="I845" s="2"/>
      <c r="J845" s="2"/>
      <c r="K845" s="2"/>
      <c r="L845" s="2"/>
      <c r="M845" s="2"/>
      <c r="N845" s="90"/>
      <c r="O845" s="91"/>
      <c r="P845" s="91"/>
      <c r="Q845" s="91">
        <v>10686594</v>
      </c>
      <c r="R845" s="91"/>
      <c r="S845" s="91"/>
      <c r="T845" s="87">
        <v>11022589</v>
      </c>
      <c r="U845" s="87">
        <v>11367619</v>
      </c>
      <c r="V845" s="3"/>
    </row>
    <row r="846" spans="1:22" ht="15">
      <c r="A846" s="3"/>
      <c r="B846" s="3"/>
      <c r="C846" s="3"/>
      <c r="D846" s="2"/>
      <c r="E846" s="2"/>
      <c r="F846" s="2"/>
      <c r="G846" s="90" t="s">
        <v>354</v>
      </c>
      <c r="H846" s="2"/>
      <c r="I846" s="2"/>
      <c r="J846" s="2"/>
      <c r="K846" s="2"/>
      <c r="L846" s="2"/>
      <c r="M846" s="2"/>
      <c r="N846" s="90"/>
      <c r="O846" s="90"/>
      <c r="P846" s="90"/>
      <c r="Q846" s="92">
        <v>10686594</v>
      </c>
      <c r="R846" s="92"/>
      <c r="S846" s="92"/>
      <c r="T846" s="92">
        <v>11022589</v>
      </c>
      <c r="U846" s="92">
        <v>11367619</v>
      </c>
      <c r="V846" s="3"/>
    </row>
    <row r="847" spans="1:22" ht="15.75">
      <c r="A847" s="93"/>
      <c r="B847" s="94"/>
      <c r="C847" s="9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95">
        <f>Q846-Q842</f>
        <v>-6831747.31968084</v>
      </c>
      <c r="R847" s="95"/>
      <c r="S847" s="95"/>
      <c r="T847" s="95">
        <f>T846-T842</f>
        <v>-4978535.625101307</v>
      </c>
      <c r="U847" s="95">
        <f>U846-U842</f>
        <v>-6632038.319406606</v>
      </c>
      <c r="V847" s="96"/>
    </row>
    <row r="848" spans="1:21" ht="20.25">
      <c r="A848" s="97"/>
      <c r="B848" s="97"/>
      <c r="C848" s="97"/>
      <c r="D848" s="97"/>
      <c r="E848" s="97"/>
      <c r="F848" s="97"/>
      <c r="G848" s="98"/>
      <c r="H848" s="99"/>
      <c r="I848" s="99"/>
      <c r="J848" s="99"/>
      <c r="K848" s="99"/>
      <c r="L848" s="99"/>
      <c r="M848" s="99"/>
      <c r="N848" s="100"/>
      <c r="O848" s="100"/>
      <c r="P848" s="100"/>
      <c r="Q848" s="101"/>
      <c r="R848" s="101"/>
      <c r="S848" s="101"/>
      <c r="T848" s="99"/>
      <c r="U848" s="99"/>
    </row>
    <row r="849" spans="1:22" ht="18.75">
      <c r="A849" s="97"/>
      <c r="B849" s="97"/>
      <c r="C849" s="97"/>
      <c r="D849" s="97"/>
      <c r="E849" s="97"/>
      <c r="F849" s="97"/>
      <c r="G849" s="103"/>
      <c r="H849" s="104"/>
      <c r="I849" s="104"/>
      <c r="J849" s="104"/>
      <c r="K849" s="104"/>
      <c r="L849" s="104"/>
      <c r="M849" s="104"/>
      <c r="N849" s="100"/>
      <c r="O849" s="100"/>
      <c r="P849" s="100"/>
      <c r="Q849" s="100"/>
      <c r="R849" s="100"/>
      <c r="S849" s="100"/>
      <c r="T849" s="100"/>
      <c r="U849" s="104"/>
      <c r="V849" s="105"/>
    </row>
    <row r="850" spans="1:20" s="30" customFormat="1" ht="15.75">
      <c r="A850" s="106"/>
      <c r="B850" s="106"/>
      <c r="C850" s="107" t="s">
        <v>355</v>
      </c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</row>
    <row r="851" spans="1:22" ht="15">
      <c r="A851" s="109"/>
      <c r="B851" s="109"/>
      <c r="C851" s="109"/>
      <c r="D851" s="109"/>
      <c r="E851" s="109"/>
      <c r="V851" s="44"/>
    </row>
    <row r="852" spans="1:22" ht="15">
      <c r="A852" s="110"/>
      <c r="B852" s="44"/>
      <c r="D852" s="44"/>
      <c r="V852" s="44"/>
    </row>
    <row r="853" spans="2:22" ht="11.25">
      <c r="B853" s="44"/>
      <c r="D853" s="44"/>
      <c r="V853" s="44"/>
    </row>
    <row r="854" spans="2:22" ht="11.25">
      <c r="B854" s="44"/>
      <c r="D854" s="44"/>
      <c r="V854" s="44"/>
    </row>
    <row r="855" spans="2:22" ht="11.25">
      <c r="B855" s="44"/>
      <c r="D855" s="44"/>
      <c r="V855" s="44"/>
    </row>
    <row r="856" spans="2:22" ht="11.25">
      <c r="B856" s="44"/>
      <c r="D856" s="44"/>
      <c r="V856" s="44"/>
    </row>
    <row r="857" spans="2:22" ht="11.25">
      <c r="B857" s="44"/>
      <c r="D857" s="44"/>
      <c r="V857" s="44"/>
    </row>
    <row r="858" spans="2:22" ht="11.25">
      <c r="B858" s="44"/>
      <c r="D858" s="44"/>
      <c r="V858" s="44"/>
    </row>
    <row r="859" spans="2:22" ht="11.25">
      <c r="B859" s="44"/>
      <c r="D859" s="44"/>
      <c r="V859" s="44"/>
    </row>
    <row r="860" spans="2:22" ht="11.25">
      <c r="B860" s="44"/>
      <c r="D860" s="44"/>
      <c r="V860" s="44"/>
    </row>
    <row r="861" ht="11.25">
      <c r="V861" s="44"/>
    </row>
    <row r="862" ht="11.25">
      <c r="V862" s="44"/>
    </row>
    <row r="863" ht="11.25">
      <c r="V863" s="44"/>
    </row>
    <row r="864" ht="11.25">
      <c r="V864" s="44"/>
    </row>
    <row r="865" spans="2:22" ht="11.25">
      <c r="B865" s="44"/>
      <c r="D865" s="44"/>
      <c r="V865" s="44"/>
    </row>
    <row r="866" spans="2:22" ht="11.25">
      <c r="B866" s="44"/>
      <c r="D866" s="44"/>
      <c r="V866" s="44"/>
    </row>
    <row r="867" spans="2:22" ht="15">
      <c r="B867" s="113"/>
      <c r="C867" s="7"/>
      <c r="D867" s="114"/>
      <c r="E867" s="7"/>
      <c r="F867" s="7"/>
      <c r="G867" s="7"/>
      <c r="J867" s="81"/>
      <c r="K867" s="81"/>
      <c r="L867" s="81"/>
      <c r="M867" s="81"/>
      <c r="N867" s="82"/>
      <c r="O867" s="83"/>
      <c r="P867" s="83"/>
      <c r="Q867" s="83"/>
      <c r="R867" s="83"/>
      <c r="S867" s="83"/>
      <c r="T867" s="84"/>
      <c r="U867" s="84"/>
      <c r="V867" s="3"/>
    </row>
    <row r="868" spans="2:22" ht="15">
      <c r="B868" s="113"/>
      <c r="C868" s="7"/>
      <c r="D868" s="114"/>
      <c r="E868" s="7"/>
      <c r="F868" s="7"/>
      <c r="G868" s="7"/>
      <c r="J868" s="85"/>
      <c r="K868" s="85"/>
      <c r="L868" s="85"/>
      <c r="M868" s="85"/>
      <c r="N868" s="86"/>
      <c r="O868" s="87"/>
      <c r="P868" s="87"/>
      <c r="Q868" s="88"/>
      <c r="R868" s="88"/>
      <c r="S868" s="88"/>
      <c r="T868" s="88"/>
      <c r="U868" s="88"/>
      <c r="V868" s="3"/>
    </row>
    <row r="869" spans="2:22" ht="15">
      <c r="B869" s="113"/>
      <c r="C869" s="7"/>
      <c r="D869" s="114"/>
      <c r="E869" s="7"/>
      <c r="F869" s="7"/>
      <c r="G869" s="7"/>
      <c r="J869" s="2"/>
      <c r="K869" s="2"/>
      <c r="L869" s="2"/>
      <c r="M869" s="2"/>
      <c r="N869" s="90"/>
      <c r="O869" s="91"/>
      <c r="P869" s="91"/>
      <c r="Q869" s="91"/>
      <c r="R869" s="91"/>
      <c r="S869" s="91"/>
      <c r="T869" s="87"/>
      <c r="U869" s="87"/>
      <c r="V869" s="3"/>
    </row>
    <row r="870" spans="2:22" ht="15">
      <c r="B870" s="113"/>
      <c r="C870" s="7"/>
      <c r="D870" s="114"/>
      <c r="E870" s="7"/>
      <c r="F870" s="7"/>
      <c r="G870" s="7"/>
      <c r="H870" s="7"/>
      <c r="J870" s="2"/>
      <c r="K870" s="2"/>
      <c r="L870" s="2"/>
      <c r="M870" s="2"/>
      <c r="N870" s="90"/>
      <c r="O870" s="90"/>
      <c r="P870" s="90"/>
      <c r="Q870" s="92"/>
      <c r="R870" s="92"/>
      <c r="S870" s="92"/>
      <c r="T870" s="92"/>
      <c r="U870" s="92"/>
      <c r="V870" s="3"/>
    </row>
    <row r="871" spans="2:22" ht="15">
      <c r="B871" s="113"/>
      <c r="C871" s="7"/>
      <c r="D871" s="114"/>
      <c r="E871" s="7"/>
      <c r="F871" s="7"/>
      <c r="G871" s="7"/>
      <c r="H871" s="7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115"/>
      <c r="U871" s="115"/>
      <c r="V871" s="96"/>
    </row>
    <row r="872" spans="2:22" ht="15">
      <c r="B872" s="113"/>
      <c r="C872" s="7"/>
      <c r="D872" s="114"/>
      <c r="E872" s="7"/>
      <c r="F872" s="7"/>
      <c r="G872" s="7"/>
      <c r="H872" s="7"/>
      <c r="V872" s="44"/>
    </row>
    <row r="873" spans="2:22" ht="15">
      <c r="B873" s="113"/>
      <c r="C873" s="7"/>
      <c r="D873" s="114"/>
      <c r="E873" s="7"/>
      <c r="F873" s="7"/>
      <c r="G873" s="7"/>
      <c r="H873" s="7"/>
      <c r="V873" s="44"/>
    </row>
    <row r="874" spans="2:22" ht="15">
      <c r="B874" s="113"/>
      <c r="C874" s="7"/>
      <c r="D874" s="114"/>
      <c r="E874" s="7"/>
      <c r="F874" s="7"/>
      <c r="G874" s="7"/>
      <c r="H874" s="7"/>
      <c r="V874" s="44"/>
    </row>
    <row r="875" spans="2:22" ht="15">
      <c r="B875" s="113"/>
      <c r="C875" s="7"/>
      <c r="D875" s="114"/>
      <c r="E875" s="7"/>
      <c r="F875" s="7"/>
      <c r="G875" s="7"/>
      <c r="H875" s="7"/>
      <c r="V875" s="44"/>
    </row>
    <row r="876" spans="2:22" ht="15">
      <c r="B876" s="113"/>
      <c r="C876" s="7"/>
      <c r="D876" s="114"/>
      <c r="E876" s="7"/>
      <c r="F876" s="7"/>
      <c r="G876" s="7"/>
      <c r="H876" s="7"/>
      <c r="V876" s="44"/>
    </row>
    <row r="877" spans="2:22" ht="15">
      <c r="B877" s="113"/>
      <c r="C877" s="7"/>
      <c r="D877" s="114"/>
      <c r="E877" s="7"/>
      <c r="F877" s="7"/>
      <c r="G877" s="7"/>
      <c r="H877" s="7"/>
      <c r="V877" s="44"/>
    </row>
    <row r="878" spans="1:22" ht="15">
      <c r="A878" s="7"/>
      <c r="B878" s="113"/>
      <c r="C878" s="7"/>
      <c r="D878" s="114"/>
      <c r="E878" s="7"/>
      <c r="F878" s="7"/>
      <c r="G878" s="7"/>
      <c r="H878" s="7"/>
      <c r="V878" s="44"/>
    </row>
    <row r="879" spans="1:22" ht="15">
      <c r="A879" s="7"/>
      <c r="B879" s="113"/>
      <c r="C879" s="7"/>
      <c r="D879" s="114"/>
      <c r="E879" s="7"/>
      <c r="F879" s="7"/>
      <c r="G879" s="7"/>
      <c r="H879" s="7"/>
      <c r="V879" s="44"/>
    </row>
    <row r="880" spans="1:22" ht="15">
      <c r="A880" s="7"/>
      <c r="B880" s="113"/>
      <c r="C880" s="7"/>
      <c r="D880" s="114"/>
      <c r="E880" s="7"/>
      <c r="F880" s="7"/>
      <c r="G880" s="7"/>
      <c r="H880" s="7"/>
      <c r="V880" s="44"/>
    </row>
    <row r="881" spans="1:22" ht="15">
      <c r="A881" s="7"/>
      <c r="B881" s="113"/>
      <c r="C881" s="7"/>
      <c r="D881" s="114"/>
      <c r="E881" s="7"/>
      <c r="F881" s="7"/>
      <c r="G881" s="7"/>
      <c r="H881" s="7"/>
      <c r="V881" s="44"/>
    </row>
    <row r="882" spans="1:22" ht="15">
      <c r="A882" s="7"/>
      <c r="B882" s="113"/>
      <c r="C882" s="7"/>
      <c r="D882" s="114"/>
      <c r="E882" s="7"/>
      <c r="F882" s="7"/>
      <c r="G882" s="7"/>
      <c r="H882" s="7"/>
      <c r="V882" s="44"/>
    </row>
    <row r="883" spans="1:22" ht="15">
      <c r="A883" s="7"/>
      <c r="B883" s="113"/>
      <c r="C883" s="7"/>
      <c r="D883" s="114"/>
      <c r="E883" s="7"/>
      <c r="F883" s="7"/>
      <c r="G883" s="7"/>
      <c r="H883" s="7"/>
      <c r="V883" s="44"/>
    </row>
    <row r="884" spans="1:22" ht="15">
      <c r="A884" s="7"/>
      <c r="B884" s="113"/>
      <c r="C884" s="7"/>
      <c r="D884" s="114"/>
      <c r="E884" s="7"/>
      <c r="F884" s="7"/>
      <c r="G884" s="7"/>
      <c r="H884" s="7"/>
      <c r="V884" s="44"/>
    </row>
    <row r="885" spans="1:22" ht="15">
      <c r="A885" s="7"/>
      <c r="B885" s="113"/>
      <c r="C885" s="7"/>
      <c r="D885" s="114"/>
      <c r="E885" s="7"/>
      <c r="F885" s="7"/>
      <c r="G885" s="7"/>
      <c r="H885" s="7"/>
      <c r="V885" s="44"/>
    </row>
    <row r="886" spans="1:22" ht="15">
      <c r="A886" s="7"/>
      <c r="B886" s="113"/>
      <c r="C886" s="7"/>
      <c r="D886" s="114"/>
      <c r="E886" s="7"/>
      <c r="F886" s="7"/>
      <c r="G886" s="7"/>
      <c r="H886" s="7"/>
      <c r="V886" s="44"/>
    </row>
    <row r="887" spans="1:22" ht="15">
      <c r="A887" s="7"/>
      <c r="B887" s="113"/>
      <c r="C887" s="7"/>
      <c r="D887" s="114"/>
      <c r="E887" s="7"/>
      <c r="F887" s="7"/>
      <c r="G887" s="7"/>
      <c r="H887" s="7"/>
      <c r="V887" s="44"/>
    </row>
    <row r="888" spans="1:22" ht="15">
      <c r="A888" s="7"/>
      <c r="B888" s="113"/>
      <c r="C888" s="7"/>
      <c r="D888" s="114"/>
      <c r="E888" s="7"/>
      <c r="F888" s="7"/>
      <c r="G888" s="7"/>
      <c r="H888" s="7"/>
      <c r="V888" s="44"/>
    </row>
    <row r="889" spans="1:22" ht="15">
      <c r="A889" s="7"/>
      <c r="B889" s="113"/>
      <c r="C889" s="7"/>
      <c r="D889" s="114"/>
      <c r="E889" s="7"/>
      <c r="F889" s="7"/>
      <c r="G889" s="7"/>
      <c r="H889" s="7"/>
      <c r="V889" s="44"/>
    </row>
    <row r="890" spans="1:22" ht="15">
      <c r="A890" s="7"/>
      <c r="B890" s="113"/>
      <c r="C890" s="7"/>
      <c r="D890" s="114"/>
      <c r="E890" s="7"/>
      <c r="F890" s="7"/>
      <c r="G890" s="7"/>
      <c r="H890" s="7"/>
      <c r="V890" s="44"/>
    </row>
    <row r="891" spans="1:22" ht="15">
      <c r="A891" s="7"/>
      <c r="B891" s="113"/>
      <c r="C891" s="7"/>
      <c r="D891" s="114"/>
      <c r="E891" s="7"/>
      <c r="F891" s="7"/>
      <c r="G891" s="7"/>
      <c r="H891" s="7"/>
      <c r="V891" s="44"/>
    </row>
    <row r="892" spans="1:22" ht="15">
      <c r="A892" s="7"/>
      <c r="B892" s="113"/>
      <c r="C892" s="7"/>
      <c r="D892" s="114"/>
      <c r="E892" s="7"/>
      <c r="F892" s="7"/>
      <c r="G892" s="7"/>
      <c r="H892" s="7"/>
      <c r="V892" s="44"/>
    </row>
    <row r="893" spans="1:22" ht="15">
      <c r="A893" s="7"/>
      <c r="B893" s="113"/>
      <c r="C893" s="7"/>
      <c r="D893" s="114"/>
      <c r="E893" s="7"/>
      <c r="F893" s="7"/>
      <c r="G893" s="7"/>
      <c r="H893" s="7"/>
      <c r="V893" s="44"/>
    </row>
    <row r="894" spans="1:22" ht="15">
      <c r="A894" s="7"/>
      <c r="B894" s="7"/>
      <c r="C894" s="7"/>
      <c r="D894" s="7"/>
      <c r="E894" s="7"/>
      <c r="F894" s="7"/>
      <c r="G894" s="7"/>
      <c r="H894" s="7"/>
      <c r="V894" s="44"/>
    </row>
    <row r="895" spans="1:22" ht="15">
      <c r="A895" s="7"/>
      <c r="B895" s="7"/>
      <c r="C895" s="7"/>
      <c r="D895" s="7"/>
      <c r="E895" s="7"/>
      <c r="F895" s="7"/>
      <c r="G895" s="7"/>
      <c r="H895" s="7"/>
      <c r="V895" s="44"/>
    </row>
    <row r="896" spans="1:22" ht="15">
      <c r="A896" s="7"/>
      <c r="B896" s="7"/>
      <c r="C896" s="7"/>
      <c r="D896" s="7"/>
      <c r="E896" s="7"/>
      <c r="F896" s="7"/>
      <c r="G896" s="7"/>
      <c r="H896" s="7"/>
      <c r="V896" s="44"/>
    </row>
    <row r="897" spans="1:22" ht="15">
      <c r="A897" s="7"/>
      <c r="B897" s="7"/>
      <c r="C897" s="7"/>
      <c r="D897" s="7"/>
      <c r="E897" s="7"/>
      <c r="F897" s="7"/>
      <c r="G897" s="7"/>
      <c r="H897" s="7"/>
      <c r="V897" s="44"/>
    </row>
    <row r="898" spans="1:22" ht="15">
      <c r="A898" s="7"/>
      <c r="B898" s="7"/>
      <c r="C898" s="7"/>
      <c r="D898" s="7"/>
      <c r="E898" s="7"/>
      <c r="F898" s="7"/>
      <c r="G898" s="7"/>
      <c r="H898" s="7"/>
      <c r="V898" s="44"/>
    </row>
    <row r="899" spans="1:22" ht="15">
      <c r="A899" s="7"/>
      <c r="B899" s="113"/>
      <c r="C899" s="7"/>
      <c r="D899" s="114"/>
      <c r="E899" s="7"/>
      <c r="F899" s="7"/>
      <c r="G899" s="7"/>
      <c r="H899" s="7"/>
      <c r="V899" s="44"/>
    </row>
    <row r="900" spans="1:22" ht="15">
      <c r="A900" s="7"/>
      <c r="B900" s="113"/>
      <c r="C900" s="7"/>
      <c r="D900" s="114"/>
      <c r="E900" s="7"/>
      <c r="F900" s="7"/>
      <c r="G900" s="7"/>
      <c r="H900" s="7"/>
      <c r="V900" s="44"/>
    </row>
    <row r="901" spans="1:22" ht="15">
      <c r="A901" s="7"/>
      <c r="B901" s="113"/>
      <c r="C901" s="7"/>
      <c r="D901" s="114"/>
      <c r="E901" s="7"/>
      <c r="F901" s="7"/>
      <c r="G901" s="7"/>
      <c r="H901" s="7"/>
      <c r="V901" s="44"/>
    </row>
    <row r="902" spans="1:22" ht="15">
      <c r="A902" s="7"/>
      <c r="B902" s="113"/>
      <c r="C902" s="7"/>
      <c r="D902" s="114"/>
      <c r="E902" s="7"/>
      <c r="F902" s="7"/>
      <c r="G902" s="7"/>
      <c r="H902" s="7"/>
      <c r="V902" s="44"/>
    </row>
    <row r="903" spans="1:22" ht="15">
      <c r="A903" s="7"/>
      <c r="B903" s="113"/>
      <c r="C903" s="7"/>
      <c r="D903" s="114"/>
      <c r="E903" s="7"/>
      <c r="F903" s="7"/>
      <c r="G903" s="7"/>
      <c r="H903" s="7"/>
      <c r="V903" s="44"/>
    </row>
    <row r="904" spans="1:22" ht="15">
      <c r="A904" s="7"/>
      <c r="B904" s="113"/>
      <c r="C904" s="7"/>
      <c r="D904" s="114"/>
      <c r="E904" s="7"/>
      <c r="F904" s="7"/>
      <c r="G904" s="7"/>
      <c r="H904" s="7"/>
      <c r="V904" s="44"/>
    </row>
    <row r="905" spans="1:22" ht="15">
      <c r="A905" s="7"/>
      <c r="B905" s="113"/>
      <c r="C905" s="7"/>
      <c r="D905" s="114"/>
      <c r="E905" s="7"/>
      <c r="F905" s="7"/>
      <c r="G905" s="7"/>
      <c r="H905" s="7"/>
      <c r="V905" s="44"/>
    </row>
    <row r="906" spans="1:22" ht="15">
      <c r="A906" s="7"/>
      <c r="B906" s="113"/>
      <c r="C906" s="7"/>
      <c r="D906" s="114"/>
      <c r="E906" s="7"/>
      <c r="F906" s="7"/>
      <c r="G906" s="7"/>
      <c r="H906" s="7"/>
      <c r="V906" s="44"/>
    </row>
    <row r="907" spans="1:22" ht="15">
      <c r="A907" s="7"/>
      <c r="B907" s="113"/>
      <c r="C907" s="7"/>
      <c r="D907" s="114"/>
      <c r="E907" s="7"/>
      <c r="F907" s="7"/>
      <c r="G907" s="7"/>
      <c r="H907" s="7"/>
      <c r="V907" s="44"/>
    </row>
    <row r="908" spans="1:22" ht="15">
      <c r="A908" s="7"/>
      <c r="B908" s="113"/>
      <c r="C908" s="7"/>
      <c r="D908" s="114"/>
      <c r="E908" s="7"/>
      <c r="F908" s="7"/>
      <c r="G908" s="7"/>
      <c r="H908" s="7"/>
      <c r="V908" s="44"/>
    </row>
    <row r="909" spans="1:22" ht="15">
      <c r="A909" s="7"/>
      <c r="B909" s="113"/>
      <c r="C909" s="7"/>
      <c r="D909" s="114"/>
      <c r="E909" s="7"/>
      <c r="F909" s="7"/>
      <c r="G909" s="7"/>
      <c r="H909" s="7"/>
      <c r="V909" s="44"/>
    </row>
    <row r="910" spans="1:22" ht="15">
      <c r="A910" s="7"/>
      <c r="B910" s="113"/>
      <c r="C910" s="7"/>
      <c r="D910" s="114"/>
      <c r="E910" s="7"/>
      <c r="F910" s="7"/>
      <c r="G910" s="7"/>
      <c r="H910" s="7"/>
      <c r="V910" s="44"/>
    </row>
    <row r="911" spans="1:22" ht="15">
      <c r="A911" s="7"/>
      <c r="B911" s="113"/>
      <c r="C911" s="7"/>
      <c r="D911" s="114"/>
      <c r="E911" s="7"/>
      <c r="F911" s="7"/>
      <c r="G911" s="7"/>
      <c r="H911" s="7"/>
      <c r="V911" s="44"/>
    </row>
    <row r="912" spans="1:22" ht="15">
      <c r="A912" s="7"/>
      <c r="B912" s="113"/>
      <c r="C912" s="7"/>
      <c r="D912" s="114"/>
      <c r="E912" s="7"/>
      <c r="F912" s="7"/>
      <c r="G912" s="7"/>
      <c r="H912" s="7"/>
      <c r="V912" s="44"/>
    </row>
    <row r="913" spans="1:22" ht="15">
      <c r="A913" s="7"/>
      <c r="B913" s="113"/>
      <c r="C913" s="7"/>
      <c r="D913" s="114"/>
      <c r="E913" s="7"/>
      <c r="F913" s="7"/>
      <c r="G913" s="7"/>
      <c r="H913" s="7"/>
      <c r="V913" s="44"/>
    </row>
    <row r="914" spans="1:22" ht="15">
      <c r="A914" s="7"/>
      <c r="B914" s="113"/>
      <c r="C914" s="7"/>
      <c r="D914" s="114"/>
      <c r="E914" s="7"/>
      <c r="F914" s="7"/>
      <c r="G914" s="7"/>
      <c r="H914" s="7"/>
      <c r="V914" s="44"/>
    </row>
    <row r="915" spans="1:22" ht="15">
      <c r="A915" s="7"/>
      <c r="B915" s="113"/>
      <c r="C915" s="7"/>
      <c r="D915" s="114"/>
      <c r="E915" s="7"/>
      <c r="F915" s="7"/>
      <c r="G915" s="7"/>
      <c r="H915" s="7"/>
      <c r="V915" s="44"/>
    </row>
    <row r="916" spans="1:26" ht="15">
      <c r="A916" s="7"/>
      <c r="B916" s="113"/>
      <c r="C916" s="7"/>
      <c r="D916" s="114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116"/>
      <c r="W916" s="7"/>
      <c r="X916" s="7"/>
      <c r="Y916" s="7"/>
      <c r="Z916" s="7"/>
    </row>
    <row r="917" spans="1:26" ht="15">
      <c r="A917" s="7"/>
      <c r="B917" s="113"/>
      <c r="C917" s="7"/>
      <c r="D917" s="114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116"/>
      <c r="W917" s="7"/>
      <c r="X917" s="7"/>
      <c r="Y917" s="7"/>
      <c r="Z917" s="7"/>
    </row>
    <row r="918" spans="1:26" ht="15">
      <c r="A918" s="7"/>
      <c r="B918" s="113"/>
      <c r="C918" s="7"/>
      <c r="D918" s="114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116"/>
      <c r="W918" s="7"/>
      <c r="X918" s="7"/>
      <c r="Y918" s="7"/>
      <c r="Z918" s="7"/>
    </row>
    <row r="919" spans="1:26" ht="15">
      <c r="A919" s="7"/>
      <c r="B919" s="113"/>
      <c r="C919" s="7"/>
      <c r="D919" s="114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116"/>
      <c r="W919" s="7"/>
      <c r="X919" s="7"/>
      <c r="Y919" s="7"/>
      <c r="Z919" s="7"/>
    </row>
    <row r="920" spans="1:26" ht="15">
      <c r="A920" s="7"/>
      <c r="B920" s="113"/>
      <c r="C920" s="7"/>
      <c r="D920" s="114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116"/>
      <c r="W920" s="7"/>
      <c r="X920" s="7"/>
      <c r="Y920" s="7"/>
      <c r="Z920" s="7"/>
    </row>
    <row r="921" spans="1:26" ht="15">
      <c r="A921" s="7"/>
      <c r="B921" s="113"/>
      <c r="C921" s="7"/>
      <c r="D921" s="114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116"/>
      <c r="W921" s="7"/>
      <c r="X921" s="7"/>
      <c r="Y921" s="7"/>
      <c r="Z921" s="7"/>
    </row>
    <row r="922" spans="1:26" ht="15">
      <c r="A922" s="7"/>
      <c r="B922" s="113"/>
      <c r="C922" s="7"/>
      <c r="D922" s="114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116"/>
      <c r="W922" s="7"/>
      <c r="X922" s="7"/>
      <c r="Y922" s="7"/>
      <c r="Z922" s="7"/>
    </row>
    <row r="923" spans="1:26" ht="15">
      <c r="A923" s="7"/>
      <c r="B923" s="113"/>
      <c r="C923" s="7"/>
      <c r="D923" s="114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116"/>
      <c r="W923" s="7"/>
      <c r="X923" s="7"/>
      <c r="Y923" s="7"/>
      <c r="Z923" s="7"/>
    </row>
    <row r="924" spans="1:26" ht="15">
      <c r="A924" s="7"/>
      <c r="B924" s="113"/>
      <c r="C924" s="7"/>
      <c r="D924" s="114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116"/>
      <c r="W924" s="7"/>
      <c r="X924" s="7"/>
      <c r="Y924" s="7"/>
      <c r="Z924" s="7"/>
    </row>
    <row r="925" spans="1:26" ht="15">
      <c r="A925" s="7"/>
      <c r="B925" s="113"/>
      <c r="C925" s="7"/>
      <c r="D925" s="114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116"/>
      <c r="W925" s="7"/>
      <c r="X925" s="7"/>
      <c r="Y925" s="7"/>
      <c r="Z925" s="7"/>
    </row>
    <row r="926" spans="1:26" ht="15">
      <c r="A926" s="7"/>
      <c r="B926" s="113"/>
      <c r="C926" s="7"/>
      <c r="D926" s="114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116"/>
      <c r="W926" s="7"/>
      <c r="X926" s="7"/>
      <c r="Y926" s="7"/>
      <c r="Z926" s="7"/>
    </row>
    <row r="927" spans="1:30" ht="15">
      <c r="A927" s="7"/>
      <c r="B927" s="113"/>
      <c r="C927" s="7"/>
      <c r="D927" s="114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116"/>
      <c r="W927" s="7"/>
      <c r="X927" s="7"/>
      <c r="Y927" s="7"/>
      <c r="Z927" s="7"/>
      <c r="AA927" s="7"/>
      <c r="AB927" s="7"/>
      <c r="AC927" s="7"/>
      <c r="AD927" s="7"/>
    </row>
    <row r="928" spans="1:30" ht="15">
      <c r="A928" s="7"/>
      <c r="B928" s="113"/>
      <c r="C928" s="7"/>
      <c r="D928" s="114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116"/>
      <c r="W928" s="7"/>
      <c r="X928" s="7"/>
      <c r="Y928" s="7"/>
      <c r="Z928" s="7"/>
      <c r="AA928" s="7"/>
      <c r="AB928" s="7"/>
      <c r="AC928" s="7"/>
      <c r="AD928" s="7"/>
    </row>
    <row r="929" spans="1:30" ht="15">
      <c r="A929" s="7"/>
      <c r="B929" s="113"/>
      <c r="C929" s="7"/>
      <c r="D929" s="114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116"/>
      <c r="W929" s="7"/>
      <c r="X929" s="7"/>
      <c r="Y929" s="7"/>
      <c r="Z929" s="7"/>
      <c r="AA929" s="7"/>
      <c r="AB929" s="7"/>
      <c r="AC929" s="7"/>
      <c r="AD929" s="7"/>
    </row>
    <row r="930" spans="1:30" ht="15">
      <c r="A930" s="7"/>
      <c r="B930" s="113"/>
      <c r="C930" s="7"/>
      <c r="D930" s="114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116"/>
      <c r="W930" s="7"/>
      <c r="X930" s="7"/>
      <c r="Y930" s="7"/>
      <c r="Z930" s="7"/>
      <c r="AA930" s="7"/>
      <c r="AB930" s="7"/>
      <c r="AC930" s="7"/>
      <c r="AD930" s="7"/>
    </row>
    <row r="931" spans="1:30" ht="15">
      <c r="A931" s="7"/>
      <c r="B931" s="113"/>
      <c r="C931" s="7"/>
      <c r="D931" s="114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116"/>
      <c r="W931" s="7"/>
      <c r="X931" s="7"/>
      <c r="Y931" s="7"/>
      <c r="Z931" s="7"/>
      <c r="AA931" s="7"/>
      <c r="AB931" s="7"/>
      <c r="AC931" s="7"/>
      <c r="AD931" s="7"/>
    </row>
    <row r="932" spans="1:30" ht="15">
      <c r="A932" s="7"/>
      <c r="B932" s="113"/>
      <c r="C932" s="7"/>
      <c r="D932" s="114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116"/>
      <c r="W932" s="7"/>
      <c r="X932" s="7"/>
      <c r="Y932" s="7"/>
      <c r="Z932" s="7"/>
      <c r="AA932" s="7"/>
      <c r="AB932" s="7"/>
      <c r="AC932" s="7"/>
      <c r="AD932" s="7"/>
    </row>
    <row r="933" spans="1:30" ht="15">
      <c r="A933" s="7"/>
      <c r="B933" s="113"/>
      <c r="C933" s="7"/>
      <c r="D933" s="114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116"/>
      <c r="W933" s="7"/>
      <c r="X933" s="7"/>
      <c r="Y933" s="7"/>
      <c r="Z933" s="7"/>
      <c r="AA933" s="7"/>
      <c r="AB933" s="7"/>
      <c r="AC933" s="7"/>
      <c r="AD933" s="7"/>
    </row>
    <row r="934" spans="1:30" ht="15">
      <c r="A934" s="7"/>
      <c r="B934" s="113"/>
      <c r="C934" s="7"/>
      <c r="D934" s="114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116"/>
      <c r="W934" s="7"/>
      <c r="X934" s="7"/>
      <c r="Y934" s="7"/>
      <c r="Z934" s="7"/>
      <c r="AA934" s="7"/>
      <c r="AB934" s="7"/>
      <c r="AC934" s="7"/>
      <c r="AD934" s="7"/>
    </row>
    <row r="935" spans="1:30" ht="15">
      <c r="A935" s="7"/>
      <c r="B935" s="113"/>
      <c r="C935" s="7"/>
      <c r="D935" s="114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116"/>
      <c r="W935" s="7"/>
      <c r="X935" s="7"/>
      <c r="Y935" s="7"/>
      <c r="Z935" s="7"/>
      <c r="AA935" s="7"/>
      <c r="AB935" s="7"/>
      <c r="AC935" s="7"/>
      <c r="AD935" s="7"/>
    </row>
    <row r="936" spans="1:30" ht="15">
      <c r="A936" s="7"/>
      <c r="B936" s="113"/>
      <c r="C936" s="7"/>
      <c r="D936" s="114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116"/>
      <c r="W936" s="7"/>
      <c r="X936" s="7"/>
      <c r="Y936" s="7"/>
      <c r="Z936" s="7"/>
      <c r="AA936" s="7"/>
      <c r="AB936" s="7"/>
      <c r="AC936" s="7"/>
      <c r="AD936" s="7"/>
    </row>
    <row r="937" spans="1:30" ht="15">
      <c r="A937" s="7"/>
      <c r="B937" s="113"/>
      <c r="C937" s="7"/>
      <c r="D937" s="114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116"/>
      <c r="W937" s="7"/>
      <c r="X937" s="7"/>
      <c r="Y937" s="7"/>
      <c r="Z937" s="7"/>
      <c r="AA937" s="7"/>
      <c r="AB937" s="7"/>
      <c r="AC937" s="7"/>
      <c r="AD937" s="7"/>
    </row>
    <row r="938" spans="1:30" ht="15">
      <c r="A938" s="7"/>
      <c r="B938" s="113"/>
      <c r="C938" s="7"/>
      <c r="D938" s="114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116"/>
      <c r="W938" s="7"/>
      <c r="X938" s="7"/>
      <c r="Y938" s="7"/>
      <c r="Z938" s="7"/>
      <c r="AA938" s="7"/>
      <c r="AB938" s="7"/>
      <c r="AC938" s="7"/>
      <c r="AD938" s="7"/>
    </row>
    <row r="939" spans="1:30" ht="15">
      <c r="A939" s="7"/>
      <c r="B939" s="113"/>
      <c r="C939" s="7"/>
      <c r="D939" s="114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116"/>
      <c r="W939" s="7"/>
      <c r="X939" s="7"/>
      <c r="Y939" s="7"/>
      <c r="Z939" s="7"/>
      <c r="AA939" s="7"/>
      <c r="AB939" s="7"/>
      <c r="AC939" s="7"/>
      <c r="AD939" s="7"/>
    </row>
    <row r="940" spans="1:30" ht="15">
      <c r="A940" s="7"/>
      <c r="B940" s="113"/>
      <c r="C940" s="7"/>
      <c r="D940" s="114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116"/>
      <c r="W940" s="7"/>
      <c r="X940" s="7"/>
      <c r="Y940" s="7"/>
      <c r="Z940" s="7"/>
      <c r="AA940" s="7"/>
      <c r="AB940" s="7"/>
      <c r="AC940" s="7"/>
      <c r="AD940" s="7"/>
    </row>
    <row r="941" spans="1:30" ht="15">
      <c r="A941" s="7"/>
      <c r="B941" s="113"/>
      <c r="C941" s="7"/>
      <c r="D941" s="114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116"/>
      <c r="W941" s="7"/>
      <c r="X941" s="7"/>
      <c r="Y941" s="7"/>
      <c r="Z941" s="7"/>
      <c r="AA941" s="7"/>
      <c r="AB941" s="7"/>
      <c r="AC941" s="7"/>
      <c r="AD941" s="7"/>
    </row>
    <row r="942" spans="1:30" ht="15">
      <c r="A942" s="7"/>
      <c r="B942" s="113"/>
      <c r="C942" s="7"/>
      <c r="D942" s="114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116"/>
      <c r="W942" s="7"/>
      <c r="X942" s="7"/>
      <c r="Y942" s="7"/>
      <c r="Z942" s="7"/>
      <c r="AA942" s="7"/>
      <c r="AB942" s="7"/>
      <c r="AC942" s="7"/>
      <c r="AD942" s="7"/>
    </row>
    <row r="943" spans="1:30" ht="15">
      <c r="A943" s="7"/>
      <c r="B943" s="113"/>
      <c r="C943" s="7"/>
      <c r="D943" s="114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116"/>
      <c r="W943" s="7"/>
      <c r="X943" s="7"/>
      <c r="Y943" s="7"/>
      <c r="Z943" s="7"/>
      <c r="AA943" s="7"/>
      <c r="AB943" s="7"/>
      <c r="AC943" s="7"/>
      <c r="AD943" s="7"/>
    </row>
    <row r="944" spans="1:30" ht="15">
      <c r="A944" s="7"/>
      <c r="B944" s="113"/>
      <c r="C944" s="7"/>
      <c r="D944" s="114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116"/>
      <c r="W944" s="7"/>
      <c r="X944" s="7"/>
      <c r="Y944" s="7"/>
      <c r="Z944" s="7"/>
      <c r="AA944" s="7"/>
      <c r="AB944" s="7"/>
      <c r="AC944" s="7"/>
      <c r="AD944" s="7"/>
    </row>
    <row r="945" spans="1:30" ht="15">
      <c r="A945" s="7"/>
      <c r="B945" s="113"/>
      <c r="C945" s="7"/>
      <c r="D945" s="114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116"/>
      <c r="W945" s="7"/>
      <c r="X945" s="7"/>
      <c r="Y945" s="7"/>
      <c r="Z945" s="7"/>
      <c r="AA945" s="7"/>
      <c r="AB945" s="7"/>
      <c r="AC945" s="7"/>
      <c r="AD945" s="7"/>
    </row>
    <row r="946" spans="1:30" ht="15">
      <c r="A946" s="7"/>
      <c r="B946" s="113"/>
      <c r="C946" s="7"/>
      <c r="D946" s="114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116"/>
      <c r="W946" s="7"/>
      <c r="X946" s="7"/>
      <c r="Y946" s="7"/>
      <c r="Z946" s="7"/>
      <c r="AA946" s="7"/>
      <c r="AB946" s="7"/>
      <c r="AC946" s="7"/>
      <c r="AD946" s="7"/>
    </row>
    <row r="947" spans="1:30" ht="15">
      <c r="A947" s="7"/>
      <c r="B947" s="113"/>
      <c r="C947" s="7"/>
      <c r="D947" s="114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116"/>
      <c r="W947" s="7"/>
      <c r="X947" s="7"/>
      <c r="Y947" s="7"/>
      <c r="Z947" s="7"/>
      <c r="AA947" s="7"/>
      <c r="AB947" s="7"/>
      <c r="AC947" s="7"/>
      <c r="AD947" s="7"/>
    </row>
    <row r="948" spans="1:30" ht="15">
      <c r="A948" s="7"/>
      <c r="B948" s="113"/>
      <c r="C948" s="7"/>
      <c r="D948" s="114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116"/>
      <c r="W948" s="7"/>
      <c r="X948" s="7"/>
      <c r="Y948" s="7"/>
      <c r="Z948" s="7"/>
      <c r="AA948" s="7"/>
      <c r="AB948" s="7"/>
      <c r="AC948" s="7"/>
      <c r="AD948" s="7"/>
    </row>
    <row r="949" spans="1:30" ht="15">
      <c r="A949" s="7"/>
      <c r="B949" s="113"/>
      <c r="C949" s="7"/>
      <c r="D949" s="114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116"/>
      <c r="W949" s="7"/>
      <c r="X949" s="7"/>
      <c r="Y949" s="7"/>
      <c r="Z949" s="7"/>
      <c r="AA949" s="7"/>
      <c r="AB949" s="7"/>
      <c r="AC949" s="7"/>
      <c r="AD949" s="7"/>
    </row>
    <row r="950" spans="1:30" ht="15">
      <c r="A950" s="7"/>
      <c r="B950" s="113"/>
      <c r="C950" s="7"/>
      <c r="D950" s="114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116"/>
      <c r="W950" s="7"/>
      <c r="X950" s="7"/>
      <c r="Y950" s="7"/>
      <c r="Z950" s="7"/>
      <c r="AA950" s="7"/>
      <c r="AB950" s="7"/>
      <c r="AC950" s="7"/>
      <c r="AD950" s="7"/>
    </row>
    <row r="951" spans="1:30" ht="15">
      <c r="A951" s="7"/>
      <c r="B951" s="113"/>
      <c r="C951" s="7"/>
      <c r="D951" s="114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116"/>
      <c r="W951" s="7"/>
      <c r="X951" s="7"/>
      <c r="Y951" s="7"/>
      <c r="Z951" s="7"/>
      <c r="AA951" s="7"/>
      <c r="AB951" s="7"/>
      <c r="AC951" s="7"/>
      <c r="AD951" s="7"/>
    </row>
    <row r="952" spans="1:30" ht="15">
      <c r="A952" s="7"/>
      <c r="B952" s="113"/>
      <c r="C952" s="7"/>
      <c r="D952" s="114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116"/>
      <c r="W952" s="7"/>
      <c r="X952" s="7"/>
      <c r="Y952" s="7"/>
      <c r="Z952" s="7"/>
      <c r="AA952" s="7"/>
      <c r="AB952" s="7"/>
      <c r="AC952" s="7"/>
      <c r="AD952" s="7"/>
    </row>
    <row r="953" spans="1:30" ht="15">
      <c r="A953" s="7"/>
      <c r="B953" s="113"/>
      <c r="C953" s="7"/>
      <c r="D953" s="114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116"/>
      <c r="W953" s="7"/>
      <c r="X953" s="7"/>
      <c r="Y953" s="7"/>
      <c r="Z953" s="7"/>
      <c r="AA953" s="7"/>
      <c r="AB953" s="7"/>
      <c r="AC953" s="7"/>
      <c r="AD953" s="7"/>
    </row>
    <row r="954" spans="1:30" ht="15">
      <c r="A954" s="7"/>
      <c r="B954" s="113"/>
      <c r="C954" s="7"/>
      <c r="D954" s="114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116"/>
      <c r="W954" s="7"/>
      <c r="X954" s="7"/>
      <c r="Y954" s="7"/>
      <c r="Z954" s="7"/>
      <c r="AA954" s="7"/>
      <c r="AB954" s="7"/>
      <c r="AC954" s="7"/>
      <c r="AD954" s="7"/>
    </row>
    <row r="955" spans="1:30" ht="15">
      <c r="A955" s="7"/>
      <c r="B955" s="113"/>
      <c r="C955" s="7"/>
      <c r="D955" s="114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116"/>
      <c r="W955" s="7"/>
      <c r="X955" s="7"/>
      <c r="Y955" s="7"/>
      <c r="Z955" s="7"/>
      <c r="AA955" s="7"/>
      <c r="AB955" s="7"/>
      <c r="AC955" s="7"/>
      <c r="AD955" s="7"/>
    </row>
    <row r="956" spans="1:30" ht="15">
      <c r="A956" s="7"/>
      <c r="B956" s="113"/>
      <c r="C956" s="7"/>
      <c r="D956" s="114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116"/>
      <c r="W956" s="7"/>
      <c r="X956" s="7"/>
      <c r="Y956" s="7"/>
      <c r="Z956" s="7"/>
      <c r="AA956" s="7"/>
      <c r="AB956" s="7"/>
      <c r="AC956" s="7"/>
      <c r="AD956" s="7"/>
    </row>
    <row r="957" spans="1:30" ht="15">
      <c r="A957" s="7"/>
      <c r="B957" s="113"/>
      <c r="C957" s="7"/>
      <c r="D957" s="114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116"/>
      <c r="W957" s="7"/>
      <c r="X957" s="7"/>
      <c r="Y957" s="7"/>
      <c r="Z957" s="7"/>
      <c r="AA957" s="7"/>
      <c r="AB957" s="7"/>
      <c r="AC957" s="7"/>
      <c r="AD957" s="7"/>
    </row>
    <row r="958" spans="1:30" ht="15">
      <c r="A958" s="7"/>
      <c r="B958" s="113"/>
      <c r="C958" s="7"/>
      <c r="D958" s="114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116"/>
      <c r="W958" s="7"/>
      <c r="X958" s="7"/>
      <c r="Y958" s="7"/>
      <c r="Z958" s="7"/>
      <c r="AA958" s="7"/>
      <c r="AB958" s="7"/>
      <c r="AC958" s="7"/>
      <c r="AD958" s="7"/>
    </row>
    <row r="959" spans="1:30" ht="15">
      <c r="A959" s="7"/>
      <c r="B959" s="113"/>
      <c r="C959" s="7"/>
      <c r="D959" s="114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116"/>
      <c r="W959" s="7"/>
      <c r="X959" s="7"/>
      <c r="Y959" s="7"/>
      <c r="Z959" s="7"/>
      <c r="AA959" s="7"/>
      <c r="AB959" s="7"/>
      <c r="AC959" s="7"/>
      <c r="AD959" s="7"/>
    </row>
    <row r="960" spans="1:30" ht="15">
      <c r="A960" s="7"/>
      <c r="B960" s="113"/>
      <c r="C960" s="7"/>
      <c r="D960" s="114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116"/>
      <c r="W960" s="7"/>
      <c r="X960" s="7"/>
      <c r="Y960" s="7"/>
      <c r="Z960" s="7"/>
      <c r="AA960" s="7"/>
      <c r="AB960" s="7"/>
      <c r="AC960" s="7"/>
      <c r="AD960" s="7"/>
    </row>
    <row r="961" spans="1:30" ht="15">
      <c r="A961" s="7"/>
      <c r="B961" s="113"/>
      <c r="C961" s="7"/>
      <c r="D961" s="114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116"/>
      <c r="W961" s="7"/>
      <c r="X961" s="7"/>
      <c r="Y961" s="7"/>
      <c r="Z961" s="7"/>
      <c r="AA961" s="7"/>
      <c r="AB961" s="7"/>
      <c r="AC961" s="7"/>
      <c r="AD961" s="7"/>
    </row>
    <row r="962" spans="1:30" ht="15">
      <c r="A962" s="7"/>
      <c r="B962" s="113"/>
      <c r="C962" s="7"/>
      <c r="D962" s="114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116"/>
      <c r="W962" s="7"/>
      <c r="X962" s="7"/>
      <c r="Y962" s="7"/>
      <c r="Z962" s="7"/>
      <c r="AA962" s="7"/>
      <c r="AB962" s="7"/>
      <c r="AC962" s="7"/>
      <c r="AD962" s="7"/>
    </row>
    <row r="963" spans="1:30" ht="15">
      <c r="A963" s="7"/>
      <c r="B963" s="113"/>
      <c r="C963" s="7"/>
      <c r="D963" s="114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116"/>
      <c r="W963" s="7"/>
      <c r="X963" s="7"/>
      <c r="Y963" s="7"/>
      <c r="Z963" s="7"/>
      <c r="AA963" s="7"/>
      <c r="AB963" s="7"/>
      <c r="AC963" s="7"/>
      <c r="AD963" s="7"/>
    </row>
    <row r="964" spans="1:30" ht="15">
      <c r="A964" s="7"/>
      <c r="B964" s="113"/>
      <c r="C964" s="7"/>
      <c r="D964" s="114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116"/>
      <c r="W964" s="7"/>
      <c r="X964" s="7"/>
      <c r="Y964" s="7"/>
      <c r="Z964" s="7"/>
      <c r="AA964" s="7"/>
      <c r="AB964" s="7"/>
      <c r="AC964" s="7"/>
      <c r="AD964" s="7"/>
    </row>
    <row r="965" spans="1:30" ht="15">
      <c r="A965" s="7"/>
      <c r="B965" s="113"/>
      <c r="C965" s="7"/>
      <c r="D965" s="114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116"/>
      <c r="W965" s="7"/>
      <c r="X965" s="7"/>
      <c r="Y965" s="7"/>
      <c r="Z965" s="7"/>
      <c r="AA965" s="7"/>
      <c r="AB965" s="7"/>
      <c r="AC965" s="7"/>
      <c r="AD965" s="7"/>
    </row>
    <row r="966" spans="1:30" ht="15">
      <c r="A966" s="7"/>
      <c r="B966" s="113"/>
      <c r="C966" s="7"/>
      <c r="D966" s="114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116"/>
      <c r="W966" s="7"/>
      <c r="X966" s="7"/>
      <c r="Y966" s="7"/>
      <c r="Z966" s="7"/>
      <c r="AA966" s="7"/>
      <c r="AB966" s="7"/>
      <c r="AC966" s="7"/>
      <c r="AD966" s="7"/>
    </row>
    <row r="967" spans="1:30" ht="15">
      <c r="A967" s="7"/>
      <c r="B967" s="113"/>
      <c r="C967" s="7"/>
      <c r="D967" s="114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116"/>
      <c r="W967" s="7"/>
      <c r="X967" s="7"/>
      <c r="Y967" s="7"/>
      <c r="Z967" s="7"/>
      <c r="AA967" s="7"/>
      <c r="AB967" s="7"/>
      <c r="AC967" s="7"/>
      <c r="AD967" s="7"/>
    </row>
    <row r="968" spans="1:30" ht="15">
      <c r="A968" s="7"/>
      <c r="B968" s="113"/>
      <c r="C968" s="7"/>
      <c r="D968" s="114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116"/>
      <c r="W968" s="7"/>
      <c r="X968" s="7"/>
      <c r="Y968" s="7"/>
      <c r="Z968" s="7"/>
      <c r="AA968" s="7"/>
      <c r="AB968" s="7"/>
      <c r="AC968" s="7"/>
      <c r="AD968" s="7"/>
    </row>
    <row r="969" spans="1:30" ht="15">
      <c r="A969" s="7"/>
      <c r="B969" s="113"/>
      <c r="C969" s="7"/>
      <c r="D969" s="114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116"/>
      <c r="W969" s="7"/>
      <c r="X969" s="7"/>
      <c r="Y969" s="7"/>
      <c r="Z969" s="7"/>
      <c r="AA969" s="7"/>
      <c r="AB969" s="7"/>
      <c r="AC969" s="7"/>
      <c r="AD969" s="7"/>
    </row>
    <row r="970" spans="1:30" ht="15">
      <c r="A970" s="7"/>
      <c r="B970" s="113"/>
      <c r="C970" s="7"/>
      <c r="D970" s="114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116"/>
      <c r="W970" s="7"/>
      <c r="X970" s="7"/>
      <c r="Y970" s="7"/>
      <c r="Z970" s="7"/>
      <c r="AA970" s="7"/>
      <c r="AB970" s="7"/>
      <c r="AC970" s="7"/>
      <c r="AD970" s="7"/>
    </row>
    <row r="971" spans="1:30" ht="15">
      <c r="A971" s="7"/>
      <c r="B971" s="113"/>
      <c r="C971" s="7"/>
      <c r="D971" s="114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116"/>
      <c r="W971" s="7"/>
      <c r="X971" s="7"/>
      <c r="Y971" s="7"/>
      <c r="Z971" s="7"/>
      <c r="AA971" s="7"/>
      <c r="AB971" s="7"/>
      <c r="AC971" s="7"/>
      <c r="AD971" s="7"/>
    </row>
    <row r="972" spans="1:30" ht="15">
      <c r="A972" s="7"/>
      <c r="B972" s="113"/>
      <c r="C972" s="7"/>
      <c r="D972" s="114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116"/>
      <c r="W972" s="7"/>
      <c r="X972" s="7"/>
      <c r="Y972" s="7"/>
      <c r="Z972" s="7"/>
      <c r="AA972" s="7"/>
      <c r="AB972" s="7"/>
      <c r="AC972" s="7"/>
      <c r="AD972" s="7"/>
    </row>
    <row r="973" spans="1:30" ht="15">
      <c r="A973" s="7"/>
      <c r="B973" s="113"/>
      <c r="C973" s="7"/>
      <c r="D973" s="114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116"/>
      <c r="W973" s="7"/>
      <c r="X973" s="7"/>
      <c r="Y973" s="7"/>
      <c r="Z973" s="7"/>
      <c r="AA973" s="7"/>
      <c r="AB973" s="7"/>
      <c r="AC973" s="7"/>
      <c r="AD973" s="7"/>
    </row>
    <row r="974" spans="1:30" ht="15">
      <c r="A974" s="7"/>
      <c r="B974" s="113"/>
      <c r="C974" s="7"/>
      <c r="D974" s="114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116"/>
      <c r="W974" s="7"/>
      <c r="X974" s="7"/>
      <c r="Y974" s="7"/>
      <c r="Z974" s="7"/>
      <c r="AA974" s="7"/>
      <c r="AB974" s="7"/>
      <c r="AC974" s="7"/>
      <c r="AD974" s="7"/>
    </row>
    <row r="975" spans="1:30" ht="15">
      <c r="A975" s="7"/>
      <c r="B975" s="113"/>
      <c r="C975" s="7"/>
      <c r="D975" s="114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116"/>
      <c r="W975" s="7"/>
      <c r="X975" s="7"/>
      <c r="Y975" s="7"/>
      <c r="Z975" s="7"/>
      <c r="AA975" s="7"/>
      <c r="AB975" s="7"/>
      <c r="AC975" s="7"/>
      <c r="AD975" s="7"/>
    </row>
    <row r="976" spans="1:30" ht="15">
      <c r="A976" s="7"/>
      <c r="B976" s="113"/>
      <c r="C976" s="7"/>
      <c r="D976" s="114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116"/>
      <c r="W976" s="7"/>
      <c r="X976" s="7"/>
      <c r="Y976" s="7"/>
      <c r="Z976" s="7"/>
      <c r="AA976" s="7"/>
      <c r="AB976" s="7"/>
      <c r="AC976" s="7"/>
      <c r="AD976" s="7"/>
    </row>
    <row r="977" spans="1:30" ht="15">
      <c r="A977" s="7"/>
      <c r="B977" s="113"/>
      <c r="C977" s="7"/>
      <c r="D977" s="114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116"/>
      <c r="W977" s="7"/>
      <c r="X977" s="7"/>
      <c r="Y977" s="7"/>
      <c r="Z977" s="7"/>
      <c r="AA977" s="7"/>
      <c r="AB977" s="7"/>
      <c r="AC977" s="7"/>
      <c r="AD977" s="7"/>
    </row>
    <row r="978" spans="1:30" ht="15">
      <c r="A978" s="7"/>
      <c r="B978" s="113"/>
      <c r="C978" s="7"/>
      <c r="D978" s="114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116"/>
      <c r="W978" s="7"/>
      <c r="X978" s="7"/>
      <c r="Y978" s="7"/>
      <c r="Z978" s="7"/>
      <c r="AA978" s="7"/>
      <c r="AB978" s="7"/>
      <c r="AC978" s="7"/>
      <c r="AD978" s="7"/>
    </row>
    <row r="979" spans="1:30" ht="15">
      <c r="A979" s="7"/>
      <c r="B979" s="113"/>
      <c r="C979" s="7"/>
      <c r="D979" s="114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116"/>
      <c r="W979" s="7"/>
      <c r="X979" s="7"/>
      <c r="Y979" s="7"/>
      <c r="Z979" s="7"/>
      <c r="AA979" s="7"/>
      <c r="AB979" s="7"/>
      <c r="AC979" s="7"/>
      <c r="AD979" s="7"/>
    </row>
    <row r="980" spans="1:30" ht="15">
      <c r="A980" s="7"/>
      <c r="B980" s="113"/>
      <c r="C980" s="7"/>
      <c r="D980" s="114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116"/>
      <c r="W980" s="7"/>
      <c r="X980" s="7"/>
      <c r="Y980" s="7"/>
      <c r="Z980" s="7"/>
      <c r="AA980" s="7"/>
      <c r="AB980" s="7"/>
      <c r="AC980" s="7"/>
      <c r="AD980" s="7"/>
    </row>
    <row r="981" spans="1:30" ht="15">
      <c r="A981" s="7"/>
      <c r="B981" s="113"/>
      <c r="C981" s="7"/>
      <c r="D981" s="114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116"/>
      <c r="W981" s="7"/>
      <c r="X981" s="7"/>
      <c r="Y981" s="7"/>
      <c r="Z981" s="7"/>
      <c r="AA981" s="7"/>
      <c r="AB981" s="7"/>
      <c r="AC981" s="7"/>
      <c r="AD981" s="7"/>
    </row>
    <row r="982" spans="1:30" ht="15">
      <c r="A982" s="7"/>
      <c r="B982" s="113"/>
      <c r="C982" s="7"/>
      <c r="D982" s="114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116"/>
      <c r="W982" s="7"/>
      <c r="X982" s="7"/>
      <c r="Y982" s="7"/>
      <c r="Z982" s="7"/>
      <c r="AA982" s="7"/>
      <c r="AB982" s="7"/>
      <c r="AC982" s="7"/>
      <c r="AD982" s="7"/>
    </row>
    <row r="983" spans="1:30" ht="15">
      <c r="A983" s="7"/>
      <c r="B983" s="113"/>
      <c r="C983" s="7"/>
      <c r="D983" s="114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116"/>
      <c r="W983" s="7"/>
      <c r="X983" s="7"/>
      <c r="Y983" s="7"/>
      <c r="Z983" s="7"/>
      <c r="AA983" s="7"/>
      <c r="AB983" s="7"/>
      <c r="AC983" s="7"/>
      <c r="AD983" s="7"/>
    </row>
    <row r="984" spans="1:30" ht="15">
      <c r="A984" s="7"/>
      <c r="B984" s="113"/>
      <c r="C984" s="7"/>
      <c r="D984" s="114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116"/>
      <c r="W984" s="7"/>
      <c r="X984" s="7"/>
      <c r="Y984" s="7"/>
      <c r="Z984" s="7"/>
      <c r="AA984" s="7"/>
      <c r="AB984" s="7"/>
      <c r="AC984" s="7"/>
      <c r="AD984" s="7"/>
    </row>
    <row r="985" spans="1:30" ht="15">
      <c r="A985" s="7"/>
      <c r="B985" s="113"/>
      <c r="C985" s="7"/>
      <c r="D985" s="114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116"/>
      <c r="W985" s="7"/>
      <c r="X985" s="7"/>
      <c r="Y985" s="7"/>
      <c r="Z985" s="7"/>
      <c r="AA985" s="7"/>
      <c r="AB985" s="7"/>
      <c r="AC985" s="7"/>
      <c r="AD985" s="7"/>
    </row>
    <row r="986" spans="1:30" ht="15">
      <c r="A986" s="7"/>
      <c r="B986" s="113"/>
      <c r="C986" s="7"/>
      <c r="D986" s="114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116"/>
      <c r="W986" s="7"/>
      <c r="X986" s="7"/>
      <c r="Y986" s="7"/>
      <c r="Z986" s="7"/>
      <c r="AA986" s="7"/>
      <c r="AB986" s="7"/>
      <c r="AC986" s="7"/>
      <c r="AD986" s="7"/>
    </row>
    <row r="987" spans="1:30" ht="15">
      <c r="A987" s="7"/>
      <c r="B987" s="113"/>
      <c r="C987" s="7"/>
      <c r="D987" s="114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116"/>
      <c r="W987" s="7"/>
      <c r="X987" s="7"/>
      <c r="Y987" s="7"/>
      <c r="Z987" s="7"/>
      <c r="AA987" s="7"/>
      <c r="AB987" s="7"/>
      <c r="AC987" s="7"/>
      <c r="AD987" s="7"/>
    </row>
    <row r="988" spans="1:30" ht="15">
      <c r="A988" s="7"/>
      <c r="B988" s="113"/>
      <c r="C988" s="7"/>
      <c r="D988" s="114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116"/>
      <c r="W988" s="7"/>
      <c r="X988" s="7"/>
      <c r="Y988" s="7"/>
      <c r="Z988" s="7"/>
      <c r="AA988" s="7"/>
      <c r="AB988" s="7"/>
      <c r="AC988" s="7"/>
      <c r="AD988" s="7"/>
    </row>
    <row r="989" spans="1:30" ht="15">
      <c r="A989" s="7"/>
      <c r="B989" s="113"/>
      <c r="C989" s="7"/>
      <c r="D989" s="114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116"/>
      <c r="W989" s="7"/>
      <c r="X989" s="7"/>
      <c r="Y989" s="7"/>
      <c r="Z989" s="7"/>
      <c r="AA989" s="7"/>
      <c r="AB989" s="7"/>
      <c r="AC989" s="7"/>
      <c r="AD989" s="7"/>
    </row>
    <row r="990" spans="1:30" ht="15">
      <c r="A990" s="7"/>
      <c r="B990" s="113"/>
      <c r="C990" s="7"/>
      <c r="D990" s="114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116"/>
      <c r="W990" s="7"/>
      <c r="X990" s="7"/>
      <c r="Y990" s="7"/>
      <c r="Z990" s="7"/>
      <c r="AA990" s="7"/>
      <c r="AB990" s="7"/>
      <c r="AC990" s="7"/>
      <c r="AD990" s="7"/>
    </row>
    <row r="991" spans="1:30" ht="15">
      <c r="A991" s="7"/>
      <c r="B991" s="113"/>
      <c r="C991" s="7"/>
      <c r="D991" s="114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116"/>
      <c r="W991" s="7"/>
      <c r="X991" s="7"/>
      <c r="Y991" s="7"/>
      <c r="Z991" s="7"/>
      <c r="AA991" s="7"/>
      <c r="AB991" s="7"/>
      <c r="AC991" s="7"/>
      <c r="AD991" s="7"/>
    </row>
    <row r="992" spans="1:30" ht="15">
      <c r="A992" s="7"/>
      <c r="B992" s="113"/>
      <c r="C992" s="7"/>
      <c r="D992" s="114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116"/>
      <c r="W992" s="7"/>
      <c r="X992" s="7"/>
      <c r="Y992" s="7"/>
      <c r="Z992" s="7"/>
      <c r="AA992" s="7"/>
      <c r="AB992" s="7"/>
      <c r="AC992" s="7"/>
      <c r="AD992" s="7"/>
    </row>
    <row r="993" spans="1:30" ht="15">
      <c r="A993" s="7"/>
      <c r="B993" s="113"/>
      <c r="C993" s="7"/>
      <c r="D993" s="114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116"/>
      <c r="W993" s="7"/>
      <c r="X993" s="7"/>
      <c r="Y993" s="7"/>
      <c r="Z993" s="7"/>
      <c r="AA993" s="7"/>
      <c r="AB993" s="7"/>
      <c r="AC993" s="7"/>
      <c r="AD993" s="7"/>
    </row>
    <row r="994" spans="1:30" ht="15">
      <c r="A994" s="7"/>
      <c r="B994" s="113"/>
      <c r="C994" s="7"/>
      <c r="D994" s="114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116"/>
      <c r="W994" s="7"/>
      <c r="X994" s="7"/>
      <c r="Y994" s="7"/>
      <c r="Z994" s="7"/>
      <c r="AA994" s="7"/>
      <c r="AB994" s="7"/>
      <c r="AC994" s="7"/>
      <c r="AD994" s="7"/>
    </row>
    <row r="995" spans="1:30" ht="15">
      <c r="A995" s="7"/>
      <c r="B995" s="113"/>
      <c r="C995" s="7"/>
      <c r="D995" s="114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116"/>
      <c r="W995" s="7"/>
      <c r="X995" s="7"/>
      <c r="Y995" s="7"/>
      <c r="Z995" s="7"/>
      <c r="AA995" s="7"/>
      <c r="AB995" s="7"/>
      <c r="AC995" s="7"/>
      <c r="AD995" s="7"/>
    </row>
    <row r="996" spans="1:30" ht="15">
      <c r="A996" s="7"/>
      <c r="B996" s="113"/>
      <c r="C996" s="7"/>
      <c r="D996" s="114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116"/>
      <c r="W996" s="7"/>
      <c r="X996" s="7"/>
      <c r="Y996" s="7"/>
      <c r="Z996" s="7"/>
      <c r="AA996" s="7"/>
      <c r="AB996" s="7"/>
      <c r="AC996" s="7"/>
      <c r="AD996" s="7"/>
    </row>
    <row r="997" spans="1:30" ht="15">
      <c r="A997" s="7"/>
      <c r="B997" s="113"/>
      <c r="C997" s="7"/>
      <c r="D997" s="114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116"/>
      <c r="W997" s="7"/>
      <c r="X997" s="7"/>
      <c r="Y997" s="7"/>
      <c r="Z997" s="7"/>
      <c r="AA997" s="7"/>
      <c r="AB997" s="7"/>
      <c r="AC997" s="7"/>
      <c r="AD997" s="7"/>
    </row>
    <row r="998" spans="1:30" ht="15">
      <c r="A998" s="7"/>
      <c r="B998" s="113"/>
      <c r="C998" s="7"/>
      <c r="D998" s="114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116"/>
      <c r="W998" s="7"/>
      <c r="X998" s="7"/>
      <c r="Y998" s="7"/>
      <c r="Z998" s="7"/>
      <c r="AA998" s="7"/>
      <c r="AB998" s="7"/>
      <c r="AC998" s="7"/>
      <c r="AD998" s="7"/>
    </row>
    <row r="999" spans="1:30" ht="15">
      <c r="A999" s="7"/>
      <c r="B999" s="113"/>
      <c r="C999" s="7"/>
      <c r="D999" s="114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116"/>
      <c r="W999" s="7"/>
      <c r="X999" s="7"/>
      <c r="Y999" s="7"/>
      <c r="Z999" s="7"/>
      <c r="AA999" s="7"/>
      <c r="AB999" s="7"/>
      <c r="AC999" s="7"/>
      <c r="AD999" s="7"/>
    </row>
    <row r="1000" spans="1:30" ht="15">
      <c r="A1000" s="7"/>
      <c r="B1000" s="113"/>
      <c r="C1000" s="7"/>
      <c r="D1000" s="114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116"/>
      <c r="W1000" s="7"/>
      <c r="X1000" s="7"/>
      <c r="Y1000" s="7"/>
      <c r="Z1000" s="7"/>
      <c r="AA1000" s="7"/>
      <c r="AB1000" s="7"/>
      <c r="AC1000" s="7"/>
      <c r="AD1000" s="7"/>
    </row>
    <row r="1001" spans="1:30" ht="15">
      <c r="A1001" s="7"/>
      <c r="B1001" s="113"/>
      <c r="C1001" s="7"/>
      <c r="D1001" s="114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116"/>
      <c r="W1001" s="7"/>
      <c r="X1001" s="7"/>
      <c r="Y1001" s="7"/>
      <c r="Z1001" s="7"/>
      <c r="AA1001" s="7"/>
      <c r="AB1001" s="7"/>
      <c r="AC1001" s="7"/>
      <c r="AD1001" s="7"/>
    </row>
    <row r="1002" spans="1:30" ht="15">
      <c r="A1002" s="7"/>
      <c r="B1002" s="113"/>
      <c r="C1002" s="7"/>
      <c r="D1002" s="114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116"/>
      <c r="W1002" s="7"/>
      <c r="X1002" s="7"/>
      <c r="Y1002" s="7"/>
      <c r="Z1002" s="7"/>
      <c r="AA1002" s="7"/>
      <c r="AB1002" s="7"/>
      <c r="AC1002" s="7"/>
      <c r="AD1002" s="7"/>
    </row>
    <row r="1003" spans="1:30" ht="15">
      <c r="A1003" s="7"/>
      <c r="B1003" s="113"/>
      <c r="C1003" s="7"/>
      <c r="D1003" s="114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116"/>
      <c r="W1003" s="7"/>
      <c r="X1003" s="7"/>
      <c r="Y1003" s="7"/>
      <c r="Z1003" s="7"/>
      <c r="AA1003" s="7"/>
      <c r="AB1003" s="7"/>
      <c r="AC1003" s="7"/>
      <c r="AD1003" s="7"/>
    </row>
    <row r="1004" spans="1:30" ht="15">
      <c r="A1004" s="7"/>
      <c r="B1004" s="113"/>
      <c r="C1004" s="7"/>
      <c r="D1004" s="114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116"/>
      <c r="W1004" s="7"/>
      <c r="X1004" s="7"/>
      <c r="Y1004" s="7"/>
      <c r="Z1004" s="7"/>
      <c r="AA1004" s="7"/>
      <c r="AB1004" s="7"/>
      <c r="AC1004" s="7"/>
      <c r="AD1004" s="7"/>
    </row>
    <row r="1005" spans="1:30" ht="15">
      <c r="A1005" s="7"/>
      <c r="B1005" s="113"/>
      <c r="C1005" s="7"/>
      <c r="D1005" s="114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116"/>
      <c r="W1005" s="7"/>
      <c r="X1005" s="7"/>
      <c r="Y1005" s="7"/>
      <c r="Z1005" s="7"/>
      <c r="AA1005" s="7"/>
      <c r="AB1005" s="7"/>
      <c r="AC1005" s="7"/>
      <c r="AD1005" s="7"/>
    </row>
    <row r="1006" spans="1:30" ht="15">
      <c r="A1006" s="7"/>
      <c r="B1006" s="113"/>
      <c r="C1006" s="7"/>
      <c r="D1006" s="114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116"/>
      <c r="W1006" s="7"/>
      <c r="X1006" s="7"/>
      <c r="Y1006" s="7"/>
      <c r="Z1006" s="7"/>
      <c r="AA1006" s="7"/>
      <c r="AB1006" s="7"/>
      <c r="AC1006" s="7"/>
      <c r="AD1006" s="7"/>
    </row>
    <row r="1007" spans="1:30" ht="15">
      <c r="A1007" s="7"/>
      <c r="B1007" s="113"/>
      <c r="C1007" s="7"/>
      <c r="D1007" s="114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116"/>
      <c r="W1007" s="7"/>
      <c r="X1007" s="7"/>
      <c r="Y1007" s="7"/>
      <c r="Z1007" s="7"/>
      <c r="AA1007" s="7"/>
      <c r="AB1007" s="7"/>
      <c r="AC1007" s="7"/>
      <c r="AD1007" s="7"/>
    </row>
    <row r="1008" spans="1:30" ht="15">
      <c r="A1008" s="7"/>
      <c r="B1008" s="113"/>
      <c r="C1008" s="7"/>
      <c r="D1008" s="114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116"/>
      <c r="W1008" s="7"/>
      <c r="X1008" s="7"/>
      <c r="Y1008" s="7"/>
      <c r="Z1008" s="7"/>
      <c r="AA1008" s="7"/>
      <c r="AB1008" s="7"/>
      <c r="AC1008" s="7"/>
      <c r="AD1008" s="7"/>
    </row>
    <row r="1009" spans="1:30" ht="15">
      <c r="A1009" s="7"/>
      <c r="B1009" s="113"/>
      <c r="C1009" s="7"/>
      <c r="D1009" s="114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116"/>
      <c r="W1009" s="7"/>
      <c r="X1009" s="7"/>
      <c r="Y1009" s="7"/>
      <c r="Z1009" s="7"/>
      <c r="AA1009" s="7"/>
      <c r="AB1009" s="7"/>
      <c r="AC1009" s="7"/>
      <c r="AD1009" s="7"/>
    </row>
    <row r="1010" spans="1:30" ht="15">
      <c r="A1010" s="7"/>
      <c r="B1010" s="113"/>
      <c r="C1010" s="7"/>
      <c r="D1010" s="114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116"/>
      <c r="W1010" s="7"/>
      <c r="X1010" s="7"/>
      <c r="Y1010" s="7"/>
      <c r="Z1010" s="7"/>
      <c r="AA1010" s="7"/>
      <c r="AB1010" s="7"/>
      <c r="AC1010" s="7"/>
      <c r="AD1010" s="7"/>
    </row>
    <row r="1011" spans="1:30" ht="15">
      <c r="A1011" s="7"/>
      <c r="B1011" s="113"/>
      <c r="C1011" s="7"/>
      <c r="D1011" s="114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116"/>
      <c r="W1011" s="7"/>
      <c r="X1011" s="7"/>
      <c r="Y1011" s="7"/>
      <c r="Z1011" s="7"/>
      <c r="AA1011" s="7"/>
      <c r="AB1011" s="7"/>
      <c r="AC1011" s="7"/>
      <c r="AD1011" s="7"/>
    </row>
    <row r="1012" spans="1:30" ht="15">
      <c r="A1012" s="7"/>
      <c r="B1012" s="113"/>
      <c r="C1012" s="7"/>
      <c r="D1012" s="114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116"/>
      <c r="W1012" s="7"/>
      <c r="X1012" s="7"/>
      <c r="Y1012" s="7"/>
      <c r="Z1012" s="7"/>
      <c r="AA1012" s="7"/>
      <c r="AB1012" s="7"/>
      <c r="AC1012" s="7"/>
      <c r="AD1012" s="7"/>
    </row>
    <row r="1013" spans="1:30" ht="15">
      <c r="A1013" s="7"/>
      <c r="B1013" s="113"/>
      <c r="C1013" s="7"/>
      <c r="D1013" s="114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116"/>
      <c r="W1013" s="7"/>
      <c r="X1013" s="7"/>
      <c r="Y1013" s="7"/>
      <c r="Z1013" s="7"/>
      <c r="AA1013" s="7"/>
      <c r="AB1013" s="7"/>
      <c r="AC1013" s="7"/>
      <c r="AD1013" s="7"/>
    </row>
    <row r="1014" spans="1:30" ht="15">
      <c r="A1014" s="7"/>
      <c r="B1014" s="113"/>
      <c r="C1014" s="7"/>
      <c r="D1014" s="114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116"/>
      <c r="W1014" s="7"/>
      <c r="X1014" s="7"/>
      <c r="Y1014" s="7"/>
      <c r="Z1014" s="7"/>
      <c r="AA1014" s="7"/>
      <c r="AB1014" s="7"/>
      <c r="AC1014" s="7"/>
      <c r="AD1014" s="7"/>
    </row>
    <row r="1015" spans="1:30" ht="15">
      <c r="A1015" s="7"/>
      <c r="B1015" s="113"/>
      <c r="C1015" s="7"/>
      <c r="D1015" s="114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116"/>
      <c r="W1015" s="7"/>
      <c r="X1015" s="7"/>
      <c r="Y1015" s="7"/>
      <c r="Z1015" s="7"/>
      <c r="AA1015" s="7"/>
      <c r="AB1015" s="7"/>
      <c r="AC1015" s="7"/>
      <c r="AD1015" s="7"/>
    </row>
    <row r="1016" spans="1:30" ht="15">
      <c r="A1016" s="7"/>
      <c r="B1016" s="113"/>
      <c r="C1016" s="7"/>
      <c r="D1016" s="114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116"/>
      <c r="W1016" s="7"/>
      <c r="X1016" s="7"/>
      <c r="Y1016" s="7"/>
      <c r="Z1016" s="7"/>
      <c r="AA1016" s="7"/>
      <c r="AB1016" s="7"/>
      <c r="AC1016" s="7"/>
      <c r="AD1016" s="7"/>
    </row>
    <row r="1017" spans="1:30" ht="15">
      <c r="A1017" s="7"/>
      <c r="B1017" s="113"/>
      <c r="C1017" s="7"/>
      <c r="D1017" s="114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116"/>
      <c r="W1017" s="7"/>
      <c r="X1017" s="7"/>
      <c r="Y1017" s="7"/>
      <c r="Z1017" s="7"/>
      <c r="AA1017" s="7"/>
      <c r="AB1017" s="7"/>
      <c r="AC1017" s="7"/>
      <c r="AD1017" s="7"/>
    </row>
    <row r="1018" spans="1:30" ht="15">
      <c r="A1018" s="7"/>
      <c r="B1018" s="113"/>
      <c r="C1018" s="7"/>
      <c r="D1018" s="114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116"/>
      <c r="W1018" s="7"/>
      <c r="X1018" s="7"/>
      <c r="Y1018" s="7"/>
      <c r="Z1018" s="7"/>
      <c r="AA1018" s="7"/>
      <c r="AB1018" s="7"/>
      <c r="AC1018" s="7"/>
      <c r="AD1018" s="7"/>
    </row>
    <row r="1019" spans="1:30" ht="15">
      <c r="A1019" s="7"/>
      <c r="B1019" s="113"/>
      <c r="C1019" s="7"/>
      <c r="D1019" s="114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116"/>
      <c r="W1019" s="7"/>
      <c r="X1019" s="7"/>
      <c r="Y1019" s="7"/>
      <c r="Z1019" s="7"/>
      <c r="AA1019" s="7"/>
      <c r="AB1019" s="7"/>
      <c r="AC1019" s="7"/>
      <c r="AD1019" s="7"/>
    </row>
    <row r="1020" spans="1:30" ht="15">
      <c r="A1020" s="7"/>
      <c r="B1020" s="113"/>
      <c r="C1020" s="7"/>
      <c r="D1020" s="114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116"/>
      <c r="W1020" s="7"/>
      <c r="X1020" s="7"/>
      <c r="Y1020" s="7"/>
      <c r="Z1020" s="7"/>
      <c r="AA1020" s="7"/>
      <c r="AB1020" s="7"/>
      <c r="AC1020" s="7"/>
      <c r="AD1020" s="7"/>
    </row>
    <row r="1021" spans="1:30" ht="15">
      <c r="A1021" s="7"/>
      <c r="B1021" s="113"/>
      <c r="C1021" s="7"/>
      <c r="D1021" s="114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116"/>
      <c r="W1021" s="7"/>
      <c r="X1021" s="7"/>
      <c r="Y1021" s="7"/>
      <c r="Z1021" s="7"/>
      <c r="AA1021" s="7"/>
      <c r="AB1021" s="7"/>
      <c r="AC1021" s="7"/>
      <c r="AD1021" s="7"/>
    </row>
    <row r="1022" spans="1:30" ht="15">
      <c r="A1022" s="7"/>
      <c r="B1022" s="113"/>
      <c r="C1022" s="7"/>
      <c r="D1022" s="114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116"/>
      <c r="W1022" s="7"/>
      <c r="X1022" s="7"/>
      <c r="Y1022" s="7"/>
      <c r="Z1022" s="7"/>
      <c r="AA1022" s="7"/>
      <c r="AB1022" s="7"/>
      <c r="AC1022" s="7"/>
      <c r="AD1022" s="7"/>
    </row>
    <row r="1023" spans="1:30" ht="15">
      <c r="A1023" s="7"/>
      <c r="B1023" s="113"/>
      <c r="C1023" s="7"/>
      <c r="D1023" s="114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116"/>
      <c r="W1023" s="7"/>
      <c r="X1023" s="7"/>
      <c r="Y1023" s="7"/>
      <c r="Z1023" s="7"/>
      <c r="AA1023" s="7"/>
      <c r="AB1023" s="7"/>
      <c r="AC1023" s="7"/>
      <c r="AD1023" s="7"/>
    </row>
    <row r="1024" spans="1:30" ht="15">
      <c r="A1024" s="7"/>
      <c r="B1024" s="113"/>
      <c r="C1024" s="7"/>
      <c r="D1024" s="114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116"/>
      <c r="W1024" s="7"/>
      <c r="X1024" s="7"/>
      <c r="Y1024" s="7"/>
      <c r="Z1024" s="7"/>
      <c r="AA1024" s="7"/>
      <c r="AB1024" s="7"/>
      <c r="AC1024" s="7"/>
      <c r="AD1024" s="7"/>
    </row>
    <row r="1025" spans="1:30" ht="15">
      <c r="A1025" s="7"/>
      <c r="B1025" s="113"/>
      <c r="C1025" s="7"/>
      <c r="D1025" s="114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116"/>
      <c r="W1025" s="7"/>
      <c r="X1025" s="7"/>
      <c r="Y1025" s="7"/>
      <c r="Z1025" s="7"/>
      <c r="AA1025" s="7"/>
      <c r="AB1025" s="7"/>
      <c r="AC1025" s="7"/>
      <c r="AD1025" s="7"/>
    </row>
    <row r="1026" spans="1:30" ht="15">
      <c r="A1026" s="7"/>
      <c r="B1026" s="113"/>
      <c r="C1026" s="7"/>
      <c r="D1026" s="114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116"/>
      <c r="W1026" s="7"/>
      <c r="X1026" s="7"/>
      <c r="Y1026" s="7"/>
      <c r="Z1026" s="7"/>
      <c r="AA1026" s="7"/>
      <c r="AB1026" s="7"/>
      <c r="AC1026" s="7"/>
      <c r="AD1026" s="7"/>
    </row>
    <row r="1027" spans="1:30" ht="15">
      <c r="A1027" s="7"/>
      <c r="B1027" s="113"/>
      <c r="C1027" s="7"/>
      <c r="D1027" s="114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116"/>
      <c r="W1027" s="7"/>
      <c r="X1027" s="7"/>
      <c r="Y1027" s="7"/>
      <c r="Z1027" s="7"/>
      <c r="AA1027" s="7"/>
      <c r="AB1027" s="7"/>
      <c r="AC1027" s="7"/>
      <c r="AD1027" s="7"/>
    </row>
    <row r="1028" spans="1:30" ht="15">
      <c r="A1028" s="7"/>
      <c r="B1028" s="113"/>
      <c r="C1028" s="7"/>
      <c r="D1028" s="114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116"/>
      <c r="W1028" s="7"/>
      <c r="X1028" s="7"/>
      <c r="Y1028" s="7"/>
      <c r="Z1028" s="7"/>
      <c r="AA1028" s="7"/>
      <c r="AB1028" s="7"/>
      <c r="AC1028" s="7"/>
      <c r="AD1028" s="7"/>
    </row>
    <row r="1029" spans="1:30" ht="15">
      <c r="A1029" s="7"/>
      <c r="B1029" s="113"/>
      <c r="C1029" s="7"/>
      <c r="D1029" s="114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116"/>
      <c r="W1029" s="7"/>
      <c r="X1029" s="7"/>
      <c r="Y1029" s="7"/>
      <c r="Z1029" s="7"/>
      <c r="AA1029" s="7"/>
      <c r="AB1029" s="7"/>
      <c r="AC1029" s="7"/>
      <c r="AD1029" s="7"/>
    </row>
    <row r="1030" spans="1:30" ht="15">
      <c r="A1030" s="7"/>
      <c r="B1030" s="113"/>
      <c r="C1030" s="7"/>
      <c r="D1030" s="114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116"/>
      <c r="W1030" s="7"/>
      <c r="X1030" s="7"/>
      <c r="Y1030" s="7"/>
      <c r="Z1030" s="7"/>
      <c r="AA1030" s="7"/>
      <c r="AB1030" s="7"/>
      <c r="AC1030" s="7"/>
      <c r="AD1030" s="7"/>
    </row>
    <row r="1031" spans="1:30" ht="15">
      <c r="A1031" s="7"/>
      <c r="B1031" s="113"/>
      <c r="C1031" s="7"/>
      <c r="D1031" s="114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116"/>
      <c r="W1031" s="7"/>
      <c r="X1031" s="7"/>
      <c r="Y1031" s="7"/>
      <c r="Z1031" s="7"/>
      <c r="AA1031" s="7"/>
      <c r="AB1031" s="7"/>
      <c r="AC1031" s="7"/>
      <c r="AD1031" s="7"/>
    </row>
    <row r="1032" spans="1:30" ht="15">
      <c r="A1032" s="7"/>
      <c r="B1032" s="113"/>
      <c r="C1032" s="7"/>
      <c r="D1032" s="114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116"/>
      <c r="W1032" s="7"/>
      <c r="X1032" s="7"/>
      <c r="Y1032" s="7"/>
      <c r="Z1032" s="7"/>
      <c r="AA1032" s="7"/>
      <c r="AB1032" s="7"/>
      <c r="AC1032" s="7"/>
      <c r="AD1032" s="7"/>
    </row>
    <row r="1033" spans="1:30" ht="15">
      <c r="A1033" s="7"/>
      <c r="B1033" s="113"/>
      <c r="C1033" s="7"/>
      <c r="D1033" s="114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116"/>
      <c r="W1033" s="7"/>
      <c r="X1033" s="7"/>
      <c r="Y1033" s="7"/>
      <c r="Z1033" s="7"/>
      <c r="AA1033" s="7"/>
      <c r="AB1033" s="7"/>
      <c r="AC1033" s="7"/>
      <c r="AD1033" s="7"/>
    </row>
    <row r="1034" spans="1:30" ht="15">
      <c r="A1034" s="7"/>
      <c r="B1034" s="113"/>
      <c r="C1034" s="7"/>
      <c r="D1034" s="114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116"/>
      <c r="W1034" s="7"/>
      <c r="X1034" s="7"/>
      <c r="Y1034" s="7"/>
      <c r="Z1034" s="7"/>
      <c r="AA1034" s="7"/>
      <c r="AB1034" s="7"/>
      <c r="AC1034" s="7"/>
      <c r="AD1034" s="7"/>
    </row>
    <row r="1035" spans="1:30" ht="15">
      <c r="A1035" s="7"/>
      <c r="B1035" s="113"/>
      <c r="C1035" s="7"/>
      <c r="D1035" s="114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116"/>
      <c r="W1035" s="7"/>
      <c r="X1035" s="7"/>
      <c r="Y1035" s="7"/>
      <c r="Z1035" s="7"/>
      <c r="AA1035" s="7"/>
      <c r="AB1035" s="7"/>
      <c r="AC1035" s="7"/>
      <c r="AD1035" s="7"/>
    </row>
    <row r="1036" spans="1:30" ht="15">
      <c r="A1036" s="7"/>
      <c r="B1036" s="113"/>
      <c r="C1036" s="7"/>
      <c r="D1036" s="114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116"/>
      <c r="W1036" s="7"/>
      <c r="X1036" s="7"/>
      <c r="Y1036" s="7"/>
      <c r="Z1036" s="7"/>
      <c r="AA1036" s="7"/>
      <c r="AB1036" s="7"/>
      <c r="AC1036" s="7"/>
      <c r="AD1036" s="7"/>
    </row>
    <row r="1037" spans="1:30" ht="15">
      <c r="A1037" s="7"/>
      <c r="B1037" s="113"/>
      <c r="C1037" s="7"/>
      <c r="D1037" s="114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116"/>
      <c r="W1037" s="7"/>
      <c r="X1037" s="7"/>
      <c r="Y1037" s="7"/>
      <c r="Z1037" s="7"/>
      <c r="AA1037" s="7"/>
      <c r="AB1037" s="7"/>
      <c r="AC1037" s="7"/>
      <c r="AD1037" s="7"/>
    </row>
    <row r="1038" spans="1:30" ht="15">
      <c r="A1038" s="7"/>
      <c r="B1038" s="113"/>
      <c r="C1038" s="7"/>
      <c r="D1038" s="114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116"/>
      <c r="W1038" s="7"/>
      <c r="X1038" s="7"/>
      <c r="Y1038" s="7"/>
      <c r="Z1038" s="7"/>
      <c r="AA1038" s="7"/>
      <c r="AB1038" s="7"/>
      <c r="AC1038" s="7"/>
      <c r="AD1038" s="7"/>
    </row>
    <row r="1039" spans="1:30" ht="15">
      <c r="A1039" s="7"/>
      <c r="B1039" s="113"/>
      <c r="C1039" s="7"/>
      <c r="D1039" s="114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116"/>
      <c r="W1039" s="7"/>
      <c r="X1039" s="7"/>
      <c r="Y1039" s="7"/>
      <c r="Z1039" s="7"/>
      <c r="AA1039" s="7"/>
      <c r="AB1039" s="7"/>
      <c r="AC1039" s="7"/>
      <c r="AD1039" s="7"/>
    </row>
    <row r="1040" spans="1:30" ht="15">
      <c r="A1040" s="7"/>
      <c r="B1040" s="113"/>
      <c r="C1040" s="7"/>
      <c r="D1040" s="114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116"/>
      <c r="W1040" s="7"/>
      <c r="X1040" s="7"/>
      <c r="Y1040" s="7"/>
      <c r="Z1040" s="7"/>
      <c r="AA1040" s="7"/>
      <c r="AB1040" s="7"/>
      <c r="AC1040" s="7"/>
      <c r="AD1040" s="7"/>
    </row>
    <row r="1041" spans="1:30" ht="15">
      <c r="A1041" s="7"/>
      <c r="B1041" s="113"/>
      <c r="C1041" s="7"/>
      <c r="D1041" s="114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116"/>
      <c r="W1041" s="7"/>
      <c r="X1041" s="7"/>
      <c r="Y1041" s="7"/>
      <c r="Z1041" s="7"/>
      <c r="AA1041" s="7"/>
      <c r="AB1041" s="7"/>
      <c r="AC1041" s="7"/>
      <c r="AD1041" s="7"/>
    </row>
    <row r="1042" spans="1:30" ht="15">
      <c r="A1042" s="7"/>
      <c r="B1042" s="113"/>
      <c r="C1042" s="7"/>
      <c r="D1042" s="114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116"/>
      <c r="W1042" s="7"/>
      <c r="X1042" s="7"/>
      <c r="Y1042" s="7"/>
      <c r="Z1042" s="7"/>
      <c r="AA1042" s="7"/>
      <c r="AB1042" s="7"/>
      <c r="AC1042" s="7"/>
      <c r="AD1042" s="7"/>
    </row>
    <row r="1043" spans="1:30" ht="15">
      <c r="A1043" s="7"/>
      <c r="B1043" s="113"/>
      <c r="C1043" s="7"/>
      <c r="D1043" s="114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116"/>
      <c r="W1043" s="7"/>
      <c r="X1043" s="7"/>
      <c r="Y1043" s="7"/>
      <c r="Z1043" s="7"/>
      <c r="AA1043" s="7"/>
      <c r="AB1043" s="7"/>
      <c r="AC1043" s="7"/>
      <c r="AD1043" s="7"/>
    </row>
    <row r="1044" spans="1:30" ht="15">
      <c r="A1044" s="7"/>
      <c r="B1044" s="113"/>
      <c r="C1044" s="7"/>
      <c r="D1044" s="114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116"/>
      <c r="W1044" s="7"/>
      <c r="X1044" s="7"/>
      <c r="Y1044" s="7"/>
      <c r="Z1044" s="7"/>
      <c r="AA1044" s="7"/>
      <c r="AB1044" s="7"/>
      <c r="AC1044" s="7"/>
      <c r="AD1044" s="7"/>
    </row>
    <row r="1045" spans="1:30" ht="15">
      <c r="A1045" s="7"/>
      <c r="B1045" s="113"/>
      <c r="C1045" s="7"/>
      <c r="D1045" s="114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116"/>
      <c r="W1045" s="7"/>
      <c r="X1045" s="7"/>
      <c r="Y1045" s="7"/>
      <c r="Z1045" s="7"/>
      <c r="AA1045" s="7"/>
      <c r="AB1045" s="7"/>
      <c r="AC1045" s="7"/>
      <c r="AD1045" s="7"/>
    </row>
    <row r="1046" spans="1:30" ht="15">
      <c r="A1046" s="7"/>
      <c r="B1046" s="113"/>
      <c r="C1046" s="7"/>
      <c r="D1046" s="114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116"/>
      <c r="W1046" s="7"/>
      <c r="X1046" s="7"/>
      <c r="Y1046" s="7"/>
      <c r="Z1046" s="7"/>
      <c r="AA1046" s="7"/>
      <c r="AB1046" s="7"/>
      <c r="AC1046" s="7"/>
      <c r="AD1046" s="7"/>
    </row>
    <row r="1047" spans="1:30" ht="15">
      <c r="A1047" s="7"/>
      <c r="B1047" s="113"/>
      <c r="C1047" s="7"/>
      <c r="D1047" s="114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116"/>
      <c r="W1047" s="7"/>
      <c r="X1047" s="7"/>
      <c r="Y1047" s="7"/>
      <c r="Z1047" s="7"/>
      <c r="AA1047" s="7"/>
      <c r="AB1047" s="7"/>
      <c r="AC1047" s="7"/>
      <c r="AD1047" s="7"/>
    </row>
    <row r="1048" spans="1:30" ht="15">
      <c r="A1048" s="7"/>
      <c r="B1048" s="113"/>
      <c r="C1048" s="7"/>
      <c r="D1048" s="114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116"/>
      <c r="W1048" s="7"/>
      <c r="X1048" s="7"/>
      <c r="Y1048" s="7"/>
      <c r="Z1048" s="7"/>
      <c r="AA1048" s="7"/>
      <c r="AB1048" s="7"/>
      <c r="AC1048" s="7"/>
      <c r="AD1048" s="7"/>
    </row>
    <row r="1049" spans="1:30" ht="15">
      <c r="A1049" s="7"/>
      <c r="B1049" s="113"/>
      <c r="C1049" s="7"/>
      <c r="D1049" s="114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116"/>
      <c r="W1049" s="7"/>
      <c r="X1049" s="7"/>
      <c r="Y1049" s="7"/>
      <c r="Z1049" s="7"/>
      <c r="AA1049" s="7"/>
      <c r="AB1049" s="7"/>
      <c r="AC1049" s="7"/>
      <c r="AD1049" s="7"/>
    </row>
    <row r="1050" spans="1:30" ht="15">
      <c r="A1050" s="7"/>
      <c r="B1050" s="113"/>
      <c r="C1050" s="7"/>
      <c r="D1050" s="114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116"/>
      <c r="W1050" s="7"/>
      <c r="X1050" s="7"/>
      <c r="Y1050" s="7"/>
      <c r="Z1050" s="7"/>
      <c r="AA1050" s="7"/>
      <c r="AB1050" s="7"/>
      <c r="AC1050" s="7"/>
      <c r="AD1050" s="7"/>
    </row>
    <row r="1051" spans="1:30" ht="15">
      <c r="A1051" s="7"/>
      <c r="B1051" s="113"/>
      <c r="C1051" s="7"/>
      <c r="D1051" s="114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116"/>
      <c r="W1051" s="7"/>
      <c r="X1051" s="7"/>
      <c r="Y1051" s="7"/>
      <c r="Z1051" s="7"/>
      <c r="AA1051" s="7"/>
      <c r="AB1051" s="7"/>
      <c r="AC1051" s="7"/>
      <c r="AD1051" s="7"/>
    </row>
    <row r="1052" spans="1:30" ht="15">
      <c r="A1052" s="7"/>
      <c r="B1052" s="113"/>
      <c r="C1052" s="7"/>
      <c r="D1052" s="114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116"/>
      <c r="W1052" s="7"/>
      <c r="X1052" s="7"/>
      <c r="Y1052" s="7"/>
      <c r="Z1052" s="7"/>
      <c r="AA1052" s="7"/>
      <c r="AB1052" s="7"/>
      <c r="AC1052" s="7"/>
      <c r="AD1052" s="7"/>
    </row>
    <row r="1053" spans="1:30" ht="15">
      <c r="A1053" s="7"/>
      <c r="B1053" s="113"/>
      <c r="C1053" s="7"/>
      <c r="D1053" s="114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116"/>
      <c r="W1053" s="7"/>
      <c r="X1053" s="7"/>
      <c r="Y1053" s="7"/>
      <c r="Z1053" s="7"/>
      <c r="AA1053" s="7"/>
      <c r="AB1053" s="7"/>
      <c r="AC1053" s="7"/>
      <c r="AD1053" s="7"/>
    </row>
    <row r="1054" spans="1:30" ht="15">
      <c r="A1054" s="7"/>
      <c r="B1054" s="113"/>
      <c r="C1054" s="7"/>
      <c r="D1054" s="114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116"/>
      <c r="W1054" s="7"/>
      <c r="X1054" s="7"/>
      <c r="Y1054" s="7"/>
      <c r="Z1054" s="7"/>
      <c r="AA1054" s="7"/>
      <c r="AB1054" s="7"/>
      <c r="AC1054" s="7"/>
      <c r="AD1054" s="7"/>
    </row>
    <row r="1055" spans="1:30" ht="15">
      <c r="A1055" s="7"/>
      <c r="B1055" s="113"/>
      <c r="C1055" s="7"/>
      <c r="D1055" s="114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116"/>
      <c r="W1055" s="7"/>
      <c r="X1055" s="7"/>
      <c r="Y1055" s="7"/>
      <c r="Z1055" s="7"/>
      <c r="AA1055" s="7"/>
      <c r="AB1055" s="7"/>
      <c r="AC1055" s="7"/>
      <c r="AD1055" s="7"/>
    </row>
    <row r="1056" spans="1:30" ht="15">
      <c r="A1056" s="7"/>
      <c r="B1056" s="113"/>
      <c r="C1056" s="7"/>
      <c r="D1056" s="114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116"/>
      <c r="W1056" s="7"/>
      <c r="X1056" s="7"/>
      <c r="Y1056" s="7"/>
      <c r="Z1056" s="7"/>
      <c r="AA1056" s="7"/>
      <c r="AB1056" s="7"/>
      <c r="AC1056" s="7"/>
      <c r="AD1056" s="7"/>
    </row>
    <row r="1057" spans="1:30" ht="15">
      <c r="A1057" s="7"/>
      <c r="B1057" s="113"/>
      <c r="C1057" s="7"/>
      <c r="D1057" s="114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116"/>
      <c r="W1057" s="7"/>
      <c r="X1057" s="7"/>
      <c r="Y1057" s="7"/>
      <c r="Z1057" s="7"/>
      <c r="AA1057" s="7"/>
      <c r="AB1057" s="7"/>
      <c r="AC1057" s="7"/>
      <c r="AD1057" s="7"/>
    </row>
    <row r="1058" spans="1:30" ht="15">
      <c r="A1058" s="7"/>
      <c r="B1058" s="113"/>
      <c r="C1058" s="7"/>
      <c r="D1058" s="114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116"/>
      <c r="W1058" s="7"/>
      <c r="X1058" s="7"/>
      <c r="Y1058" s="7"/>
      <c r="Z1058" s="7"/>
      <c r="AA1058" s="7"/>
      <c r="AB1058" s="7"/>
      <c r="AC1058" s="7"/>
      <c r="AD1058" s="7"/>
    </row>
    <row r="1059" spans="1:30" ht="15">
      <c r="A1059" s="7"/>
      <c r="B1059" s="113"/>
      <c r="C1059" s="7"/>
      <c r="D1059" s="114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116"/>
      <c r="W1059" s="7"/>
      <c r="X1059" s="7"/>
      <c r="Y1059" s="7"/>
      <c r="Z1059" s="7"/>
      <c r="AA1059" s="7"/>
      <c r="AB1059" s="7"/>
      <c r="AC1059" s="7"/>
      <c r="AD1059" s="7"/>
    </row>
    <row r="1060" spans="1:30" ht="15">
      <c r="A1060" s="7"/>
      <c r="B1060" s="113"/>
      <c r="C1060" s="7"/>
      <c r="D1060" s="114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116"/>
      <c r="W1060" s="7"/>
      <c r="X1060" s="7"/>
      <c r="Y1060" s="7"/>
      <c r="Z1060" s="7"/>
      <c r="AA1060" s="7"/>
      <c r="AB1060" s="7"/>
      <c r="AC1060" s="7"/>
      <c r="AD1060" s="7"/>
    </row>
    <row r="1061" spans="1:30" ht="15">
      <c r="A1061" s="7"/>
      <c r="B1061" s="113"/>
      <c r="C1061" s="7"/>
      <c r="D1061" s="114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116"/>
      <c r="W1061" s="7"/>
      <c r="X1061" s="7"/>
      <c r="Y1061" s="7"/>
      <c r="Z1061" s="7"/>
      <c r="AA1061" s="7"/>
      <c r="AB1061" s="7"/>
      <c r="AC1061" s="7"/>
      <c r="AD1061" s="7"/>
    </row>
    <row r="1062" spans="1:30" ht="15">
      <c r="A1062" s="7"/>
      <c r="B1062" s="113"/>
      <c r="C1062" s="7"/>
      <c r="D1062" s="114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116"/>
      <c r="W1062" s="7"/>
      <c r="X1062" s="7"/>
      <c r="Y1062" s="7"/>
      <c r="Z1062" s="7"/>
      <c r="AA1062" s="7"/>
      <c r="AB1062" s="7"/>
      <c r="AC1062" s="7"/>
      <c r="AD1062" s="7"/>
    </row>
    <row r="1063" spans="1:30" ht="15">
      <c r="A1063" s="7"/>
      <c r="B1063" s="113"/>
      <c r="C1063" s="7"/>
      <c r="D1063" s="114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116"/>
      <c r="W1063" s="7"/>
      <c r="X1063" s="7"/>
      <c r="Y1063" s="7"/>
      <c r="Z1063" s="7"/>
      <c r="AA1063" s="7"/>
      <c r="AB1063" s="7"/>
      <c r="AC1063" s="7"/>
      <c r="AD1063" s="7"/>
    </row>
    <row r="1064" spans="1:30" ht="15">
      <c r="A1064" s="7"/>
      <c r="B1064" s="113"/>
      <c r="C1064" s="7"/>
      <c r="D1064" s="114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116"/>
      <c r="W1064" s="7"/>
      <c r="X1064" s="7"/>
      <c r="Y1064" s="7"/>
      <c r="Z1064" s="7"/>
      <c r="AA1064" s="7"/>
      <c r="AB1064" s="7"/>
      <c r="AC1064" s="7"/>
      <c r="AD1064" s="7"/>
    </row>
    <row r="1065" spans="1:30" ht="15">
      <c r="A1065" s="7"/>
      <c r="B1065" s="113"/>
      <c r="C1065" s="7"/>
      <c r="D1065" s="114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116"/>
      <c r="W1065" s="7"/>
      <c r="X1065" s="7"/>
      <c r="Y1065" s="7"/>
      <c r="Z1065" s="7"/>
      <c r="AA1065" s="7"/>
      <c r="AB1065" s="7"/>
      <c r="AC1065" s="7"/>
      <c r="AD1065" s="7"/>
    </row>
    <row r="1066" spans="1:30" ht="15">
      <c r="A1066" s="7"/>
      <c r="B1066" s="113"/>
      <c r="C1066" s="7"/>
      <c r="D1066" s="114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116"/>
      <c r="W1066" s="7"/>
      <c r="X1066" s="7"/>
      <c r="Y1066" s="7"/>
      <c r="Z1066" s="7"/>
      <c r="AA1066" s="7"/>
      <c r="AB1066" s="7"/>
      <c r="AC1066" s="7"/>
      <c r="AD1066" s="7"/>
    </row>
    <row r="1067" spans="1:30" ht="15">
      <c r="A1067" s="7"/>
      <c r="B1067" s="113"/>
      <c r="C1067" s="7"/>
      <c r="D1067" s="114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116"/>
      <c r="W1067" s="7"/>
      <c r="X1067" s="7"/>
      <c r="Y1067" s="7"/>
      <c r="Z1067" s="7"/>
      <c r="AA1067" s="7"/>
      <c r="AB1067" s="7"/>
      <c r="AC1067" s="7"/>
      <c r="AD1067" s="7"/>
    </row>
    <row r="1068" spans="1:30" ht="15">
      <c r="A1068" s="7"/>
      <c r="B1068" s="113"/>
      <c r="C1068" s="7"/>
      <c r="D1068" s="114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116"/>
      <c r="W1068" s="7"/>
      <c r="X1068" s="7"/>
      <c r="Y1068" s="7"/>
      <c r="Z1068" s="7"/>
      <c r="AA1068" s="7"/>
      <c r="AB1068" s="7"/>
      <c r="AC1068" s="7"/>
      <c r="AD1068" s="7"/>
    </row>
    <row r="1069" spans="1:30" ht="15">
      <c r="A1069" s="7"/>
      <c r="B1069" s="113"/>
      <c r="C1069" s="7"/>
      <c r="D1069" s="114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116"/>
      <c r="W1069" s="7"/>
      <c r="X1069" s="7"/>
      <c r="Y1069" s="7"/>
      <c r="Z1069" s="7"/>
      <c r="AA1069" s="7"/>
      <c r="AB1069" s="7"/>
      <c r="AC1069" s="7"/>
      <c r="AD1069" s="7"/>
    </row>
    <row r="1070" spans="1:30" ht="15">
      <c r="A1070" s="7"/>
      <c r="B1070" s="113"/>
      <c r="C1070" s="7"/>
      <c r="D1070" s="114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116"/>
      <c r="W1070" s="7"/>
      <c r="X1070" s="7"/>
      <c r="Y1070" s="7"/>
      <c r="Z1070" s="7"/>
      <c r="AA1070" s="7"/>
      <c r="AB1070" s="7"/>
      <c r="AC1070" s="7"/>
      <c r="AD1070" s="7"/>
    </row>
    <row r="1071" spans="1:30" ht="15">
      <c r="A1071" s="7"/>
      <c r="B1071" s="113"/>
      <c r="C1071" s="7"/>
      <c r="D1071" s="114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116"/>
      <c r="W1071" s="7"/>
      <c r="X1071" s="7"/>
      <c r="Y1071" s="7"/>
      <c r="Z1071" s="7"/>
      <c r="AA1071" s="7"/>
      <c r="AB1071" s="7"/>
      <c r="AC1071" s="7"/>
      <c r="AD1071" s="7"/>
    </row>
    <row r="1072" spans="1:30" ht="15">
      <c r="A1072" s="7"/>
      <c r="B1072" s="113"/>
      <c r="C1072" s="7"/>
      <c r="D1072" s="114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116"/>
      <c r="W1072" s="7"/>
      <c r="X1072" s="7"/>
      <c r="Y1072" s="7"/>
      <c r="Z1072" s="7"/>
      <c r="AA1072" s="7"/>
      <c r="AB1072" s="7"/>
      <c r="AC1072" s="7"/>
      <c r="AD1072" s="7"/>
    </row>
    <row r="1073" spans="1:30" ht="15">
      <c r="A1073" s="7"/>
      <c r="B1073" s="113"/>
      <c r="C1073" s="7"/>
      <c r="D1073" s="114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116"/>
      <c r="W1073" s="7"/>
      <c r="X1073" s="7"/>
      <c r="Y1073" s="7"/>
      <c r="Z1073" s="7"/>
      <c r="AA1073" s="7"/>
      <c r="AB1073" s="7"/>
      <c r="AC1073" s="7"/>
      <c r="AD1073" s="7"/>
    </row>
    <row r="1074" spans="1:30" ht="15">
      <c r="A1074" s="7"/>
      <c r="B1074" s="113"/>
      <c r="C1074" s="7"/>
      <c r="D1074" s="114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116"/>
      <c r="W1074" s="7"/>
      <c r="X1074" s="7"/>
      <c r="Y1074" s="7"/>
      <c r="Z1074" s="7"/>
      <c r="AA1074" s="7"/>
      <c r="AB1074" s="7"/>
      <c r="AC1074" s="7"/>
      <c r="AD1074" s="7"/>
    </row>
    <row r="1075" spans="1:30" ht="15">
      <c r="A1075" s="7"/>
      <c r="B1075" s="113"/>
      <c r="C1075" s="7"/>
      <c r="D1075" s="114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116"/>
      <c r="W1075" s="7"/>
      <c r="X1075" s="7"/>
      <c r="Y1075" s="7"/>
      <c r="Z1075" s="7"/>
      <c r="AA1075" s="7"/>
      <c r="AB1075" s="7"/>
      <c r="AC1075" s="7"/>
      <c r="AD1075" s="7"/>
    </row>
    <row r="1076" spans="1:30" ht="15">
      <c r="A1076" s="7"/>
      <c r="B1076" s="113"/>
      <c r="C1076" s="7"/>
      <c r="D1076" s="114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116"/>
      <c r="W1076" s="7"/>
      <c r="X1076" s="7"/>
      <c r="Y1076" s="7"/>
      <c r="Z1076" s="7"/>
      <c r="AA1076" s="7"/>
      <c r="AB1076" s="7"/>
      <c r="AC1076" s="7"/>
      <c r="AD1076" s="7"/>
    </row>
    <row r="1077" spans="1:30" ht="15">
      <c r="A1077" s="7"/>
      <c r="B1077" s="113"/>
      <c r="C1077" s="7"/>
      <c r="D1077" s="114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116"/>
      <c r="W1077" s="7"/>
      <c r="X1077" s="7"/>
      <c r="Y1077" s="7"/>
      <c r="Z1077" s="7"/>
      <c r="AA1077" s="7"/>
      <c r="AB1077" s="7"/>
      <c r="AC1077" s="7"/>
      <c r="AD1077" s="7"/>
    </row>
    <row r="1078" spans="1:30" ht="15">
      <c r="A1078" s="7"/>
      <c r="B1078" s="113"/>
      <c r="C1078" s="7"/>
      <c r="D1078" s="114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116"/>
      <c r="W1078" s="7"/>
      <c r="X1078" s="7"/>
      <c r="Y1078" s="7"/>
      <c r="Z1078" s="7"/>
      <c r="AA1078" s="7"/>
      <c r="AB1078" s="7"/>
      <c r="AC1078" s="7"/>
      <c r="AD1078" s="7"/>
    </row>
    <row r="1079" spans="1:30" ht="15">
      <c r="A1079" s="7"/>
      <c r="B1079" s="113"/>
      <c r="C1079" s="7"/>
      <c r="D1079" s="114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116"/>
      <c r="W1079" s="7"/>
      <c r="X1079" s="7"/>
      <c r="Y1079" s="7"/>
      <c r="Z1079" s="7"/>
      <c r="AA1079" s="7"/>
      <c r="AB1079" s="7"/>
      <c r="AC1079" s="7"/>
      <c r="AD1079" s="7"/>
    </row>
    <row r="1080" spans="1:30" ht="15">
      <c r="A1080" s="7"/>
      <c r="B1080" s="113"/>
      <c r="C1080" s="7"/>
      <c r="D1080" s="114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116"/>
      <c r="W1080" s="7"/>
      <c r="X1080" s="7"/>
      <c r="Y1080" s="7"/>
      <c r="Z1080" s="7"/>
      <c r="AA1080" s="7"/>
      <c r="AB1080" s="7"/>
      <c r="AC1080" s="7"/>
      <c r="AD1080" s="7"/>
    </row>
    <row r="1081" spans="1:30" ht="15">
      <c r="A1081" s="7"/>
      <c r="B1081" s="113"/>
      <c r="C1081" s="7"/>
      <c r="D1081" s="114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116"/>
      <c r="W1081" s="7"/>
      <c r="X1081" s="7"/>
      <c r="Y1081" s="7"/>
      <c r="Z1081" s="7"/>
      <c r="AA1081" s="7"/>
      <c r="AB1081" s="7"/>
      <c r="AC1081" s="7"/>
      <c r="AD1081" s="7"/>
    </row>
    <row r="1082" spans="1:30" ht="15">
      <c r="A1082" s="7"/>
      <c r="B1082" s="113"/>
      <c r="C1082" s="7"/>
      <c r="D1082" s="114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116"/>
      <c r="W1082" s="7"/>
      <c r="X1082" s="7"/>
      <c r="Y1082" s="7"/>
      <c r="Z1082" s="7"/>
      <c r="AA1082" s="7"/>
      <c r="AB1082" s="7"/>
      <c r="AC1082" s="7"/>
      <c r="AD1082" s="7"/>
    </row>
    <row r="1083" spans="1:30" ht="15">
      <c r="A1083" s="7"/>
      <c r="B1083" s="113"/>
      <c r="C1083" s="7"/>
      <c r="D1083" s="114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116"/>
      <c r="W1083" s="7"/>
      <c r="X1083" s="7"/>
      <c r="Y1083" s="7"/>
      <c r="Z1083" s="7"/>
      <c r="AA1083" s="7"/>
      <c r="AB1083" s="7"/>
      <c r="AC1083" s="7"/>
      <c r="AD1083" s="7"/>
    </row>
    <row r="1084" spans="1:30" ht="15">
      <c r="A1084" s="7"/>
      <c r="B1084" s="113"/>
      <c r="C1084" s="7"/>
      <c r="D1084" s="114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116"/>
      <c r="W1084" s="7"/>
      <c r="X1084" s="7"/>
      <c r="Y1084" s="7"/>
      <c r="Z1084" s="7"/>
      <c r="AA1084" s="7"/>
      <c r="AB1084" s="7"/>
      <c r="AC1084" s="7"/>
      <c r="AD1084" s="7"/>
    </row>
    <row r="1085" spans="1:30" ht="15">
      <c r="A1085" s="7"/>
      <c r="B1085" s="113"/>
      <c r="C1085" s="7"/>
      <c r="D1085" s="114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116"/>
      <c r="W1085" s="7"/>
      <c r="X1085" s="7"/>
      <c r="Y1085" s="7"/>
      <c r="Z1085" s="7"/>
      <c r="AA1085" s="7"/>
      <c r="AB1085" s="7"/>
      <c r="AC1085" s="7"/>
      <c r="AD1085" s="7"/>
    </row>
    <row r="1086" spans="1:30" ht="15">
      <c r="A1086" s="7"/>
      <c r="B1086" s="113"/>
      <c r="C1086" s="7"/>
      <c r="D1086" s="114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116"/>
      <c r="W1086" s="7"/>
      <c r="X1086" s="7"/>
      <c r="Y1086" s="7"/>
      <c r="Z1086" s="7"/>
      <c r="AA1086" s="7"/>
      <c r="AB1086" s="7"/>
      <c r="AC1086" s="7"/>
      <c r="AD1086" s="7"/>
    </row>
    <row r="1087" spans="1:30" ht="15">
      <c r="A1087" s="7"/>
      <c r="B1087" s="113"/>
      <c r="C1087" s="7"/>
      <c r="D1087" s="114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116"/>
      <c r="W1087" s="7"/>
      <c r="X1087" s="7"/>
      <c r="Y1087" s="7"/>
      <c r="Z1087" s="7"/>
      <c r="AA1087" s="7"/>
      <c r="AB1087" s="7"/>
      <c r="AC1087" s="7"/>
      <c r="AD1087" s="7"/>
    </row>
    <row r="1088" spans="1:30" ht="15">
      <c r="A1088" s="7"/>
      <c r="B1088" s="113"/>
      <c r="C1088" s="7"/>
      <c r="D1088" s="114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116"/>
      <c r="W1088" s="7"/>
      <c r="X1088" s="7"/>
      <c r="Y1088" s="7"/>
      <c r="Z1088" s="7"/>
      <c r="AA1088" s="7"/>
      <c r="AB1088" s="7"/>
      <c r="AC1088" s="7"/>
      <c r="AD1088" s="7"/>
    </row>
    <row r="1089" spans="1:30" ht="15">
      <c r="A1089" s="7"/>
      <c r="B1089" s="113"/>
      <c r="C1089" s="7"/>
      <c r="D1089" s="114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116"/>
      <c r="W1089" s="7"/>
      <c r="X1089" s="7"/>
      <c r="Y1089" s="7"/>
      <c r="Z1089" s="7"/>
      <c r="AA1089" s="7"/>
      <c r="AB1089" s="7"/>
      <c r="AC1089" s="7"/>
      <c r="AD1089" s="7"/>
    </row>
    <row r="1090" spans="1:30" ht="15">
      <c r="A1090" s="7"/>
      <c r="B1090" s="113"/>
      <c r="C1090" s="7"/>
      <c r="D1090" s="114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116"/>
      <c r="W1090" s="7"/>
      <c r="X1090" s="7"/>
      <c r="Y1090" s="7"/>
      <c r="Z1090" s="7"/>
      <c r="AA1090" s="7"/>
      <c r="AB1090" s="7"/>
      <c r="AC1090" s="7"/>
      <c r="AD1090" s="7"/>
    </row>
    <row r="1091" spans="1:30" ht="15">
      <c r="A1091" s="7"/>
      <c r="B1091" s="113"/>
      <c r="C1091" s="7"/>
      <c r="D1091" s="114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116"/>
      <c r="W1091" s="7"/>
      <c r="X1091" s="7"/>
      <c r="Y1091" s="7"/>
      <c r="Z1091" s="7"/>
      <c r="AA1091" s="7"/>
      <c r="AB1091" s="7"/>
      <c r="AC1091" s="7"/>
      <c r="AD1091" s="7"/>
    </row>
    <row r="1092" spans="1:30" ht="15">
      <c r="A1092" s="7"/>
      <c r="B1092" s="113"/>
      <c r="C1092" s="7"/>
      <c r="D1092" s="114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116"/>
      <c r="W1092" s="7"/>
      <c r="X1092" s="7"/>
      <c r="Y1092" s="7"/>
      <c r="Z1092" s="7"/>
      <c r="AA1092" s="7"/>
      <c r="AB1092" s="7"/>
      <c r="AC1092" s="7"/>
      <c r="AD1092" s="7"/>
    </row>
    <row r="1093" spans="1:30" ht="15">
      <c r="A1093" s="7"/>
      <c r="B1093" s="113"/>
      <c r="C1093" s="7"/>
      <c r="D1093" s="114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116"/>
      <c r="W1093" s="7"/>
      <c r="X1093" s="7"/>
      <c r="Y1093" s="7"/>
      <c r="Z1093" s="7"/>
      <c r="AA1093" s="7"/>
      <c r="AB1093" s="7"/>
      <c r="AC1093" s="7"/>
      <c r="AD1093" s="7"/>
    </row>
    <row r="1094" spans="1:30" ht="15">
      <c r="A1094" s="7"/>
      <c r="B1094" s="113"/>
      <c r="C1094" s="7"/>
      <c r="D1094" s="114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116"/>
      <c r="W1094" s="7"/>
      <c r="X1094" s="7"/>
      <c r="Y1094" s="7"/>
      <c r="Z1094" s="7"/>
      <c r="AA1094" s="7"/>
      <c r="AB1094" s="7"/>
      <c r="AC1094" s="7"/>
      <c r="AD1094" s="7"/>
    </row>
    <row r="1095" spans="1:30" ht="15">
      <c r="A1095" s="7"/>
      <c r="B1095" s="113"/>
      <c r="C1095" s="7"/>
      <c r="D1095" s="114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116"/>
      <c r="W1095" s="7"/>
      <c r="X1095" s="7"/>
      <c r="Y1095" s="7"/>
      <c r="Z1095" s="7"/>
      <c r="AA1095" s="7"/>
      <c r="AB1095" s="7"/>
      <c r="AC1095" s="7"/>
      <c r="AD1095" s="7"/>
    </row>
    <row r="1096" spans="1:30" ht="15">
      <c r="A1096" s="7"/>
      <c r="B1096" s="113"/>
      <c r="C1096" s="7"/>
      <c r="D1096" s="114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116"/>
      <c r="W1096" s="7"/>
      <c r="X1096" s="7"/>
      <c r="Y1096" s="7"/>
      <c r="Z1096" s="7"/>
      <c r="AA1096" s="7"/>
      <c r="AB1096" s="7"/>
      <c r="AC1096" s="7"/>
      <c r="AD1096" s="7"/>
    </row>
    <row r="1097" spans="1:30" ht="15">
      <c r="A1097" s="7"/>
      <c r="B1097" s="113"/>
      <c r="C1097" s="7"/>
      <c r="D1097" s="114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116"/>
      <c r="W1097" s="7"/>
      <c r="X1097" s="7"/>
      <c r="Y1097" s="7"/>
      <c r="Z1097" s="7"/>
      <c r="AA1097" s="7"/>
      <c r="AB1097" s="7"/>
      <c r="AC1097" s="7"/>
      <c r="AD1097" s="7"/>
    </row>
    <row r="1098" spans="1:30" ht="15">
      <c r="A1098" s="7"/>
      <c r="B1098" s="113"/>
      <c r="C1098" s="7"/>
      <c r="D1098" s="114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116"/>
      <c r="W1098" s="7"/>
      <c r="X1098" s="7"/>
      <c r="Y1098" s="7"/>
      <c r="Z1098" s="7"/>
      <c r="AA1098" s="7"/>
      <c r="AB1098" s="7"/>
      <c r="AC1098" s="7"/>
      <c r="AD1098" s="7"/>
    </row>
    <row r="1099" spans="1:30" ht="15">
      <c r="A1099" s="7"/>
      <c r="B1099" s="113"/>
      <c r="C1099" s="7"/>
      <c r="D1099" s="114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116"/>
      <c r="W1099" s="7"/>
      <c r="X1099" s="7"/>
      <c r="Y1099" s="7"/>
      <c r="Z1099" s="7"/>
      <c r="AA1099" s="7"/>
      <c r="AB1099" s="7"/>
      <c r="AC1099" s="7"/>
      <c r="AD1099" s="7"/>
    </row>
    <row r="1100" spans="1:30" ht="15">
      <c r="A1100" s="7"/>
      <c r="B1100" s="113"/>
      <c r="C1100" s="7"/>
      <c r="D1100" s="114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116"/>
      <c r="W1100" s="7"/>
      <c r="X1100" s="7"/>
      <c r="Y1100" s="7"/>
      <c r="Z1100" s="7"/>
      <c r="AA1100" s="7"/>
      <c r="AB1100" s="7"/>
      <c r="AC1100" s="7"/>
      <c r="AD1100" s="7"/>
    </row>
    <row r="1101" spans="1:30" ht="15">
      <c r="A1101" s="7"/>
      <c r="B1101" s="113"/>
      <c r="C1101" s="7"/>
      <c r="D1101" s="114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116"/>
      <c r="W1101" s="7"/>
      <c r="X1101" s="7"/>
      <c r="Y1101" s="7"/>
      <c r="Z1101" s="7"/>
      <c r="AA1101" s="7"/>
      <c r="AB1101" s="7"/>
      <c r="AC1101" s="7"/>
      <c r="AD1101" s="7"/>
    </row>
    <row r="1102" spans="1:30" ht="15">
      <c r="A1102" s="7"/>
      <c r="B1102" s="113"/>
      <c r="C1102" s="7"/>
      <c r="D1102" s="114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116"/>
      <c r="W1102" s="7"/>
      <c r="X1102" s="7"/>
      <c r="Y1102" s="7"/>
      <c r="Z1102" s="7"/>
      <c r="AA1102" s="7"/>
      <c r="AB1102" s="7"/>
      <c r="AC1102" s="7"/>
      <c r="AD1102" s="7"/>
    </row>
    <row r="1103" spans="1:30" ht="15">
      <c r="A1103" s="7"/>
      <c r="B1103" s="113"/>
      <c r="C1103" s="7"/>
      <c r="D1103" s="114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116"/>
      <c r="W1103" s="7"/>
      <c r="X1103" s="7"/>
      <c r="Y1103" s="7"/>
      <c r="Z1103" s="7"/>
      <c r="AA1103" s="7"/>
      <c r="AB1103" s="7"/>
      <c r="AC1103" s="7"/>
      <c r="AD1103" s="7"/>
    </row>
    <row r="1104" spans="1:30" ht="15">
      <c r="A1104" s="7"/>
      <c r="B1104" s="113"/>
      <c r="C1104" s="7"/>
      <c r="D1104" s="114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116"/>
      <c r="W1104" s="7"/>
      <c r="X1104" s="7"/>
      <c r="Y1104" s="7"/>
      <c r="Z1104" s="7"/>
      <c r="AA1104" s="7"/>
      <c r="AB1104" s="7"/>
      <c r="AC1104" s="7"/>
      <c r="AD1104" s="7"/>
    </row>
    <row r="1105" spans="1:30" ht="15">
      <c r="A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116"/>
      <c r="W1105" s="7"/>
      <c r="X1105" s="7"/>
      <c r="Y1105" s="7"/>
      <c r="Z1105" s="7"/>
      <c r="AA1105" s="7"/>
      <c r="AB1105" s="7"/>
      <c r="AC1105" s="7"/>
      <c r="AD1105" s="7"/>
    </row>
    <row r="1106" spans="1:30" ht="15">
      <c r="A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116"/>
      <c r="W1106" s="7"/>
      <c r="X1106" s="7"/>
      <c r="Y1106" s="7"/>
      <c r="Z1106" s="7"/>
      <c r="AA1106" s="7"/>
      <c r="AB1106" s="7"/>
      <c r="AC1106" s="7"/>
      <c r="AD1106" s="7"/>
    </row>
    <row r="1107" spans="1:30" ht="15">
      <c r="A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116"/>
      <c r="W1107" s="7"/>
      <c r="X1107" s="7"/>
      <c r="Y1107" s="7"/>
      <c r="Z1107" s="7"/>
      <c r="AA1107" s="7"/>
      <c r="AB1107" s="7"/>
      <c r="AC1107" s="7"/>
      <c r="AD1107" s="7"/>
    </row>
    <row r="1108" spans="1:30" ht="15">
      <c r="A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116"/>
      <c r="W1108" s="7"/>
      <c r="X1108" s="7"/>
      <c r="Y1108" s="7"/>
      <c r="Z1108" s="7"/>
      <c r="AA1108" s="7"/>
      <c r="AB1108" s="7"/>
      <c r="AC1108" s="7"/>
      <c r="AD1108" s="7"/>
    </row>
    <row r="1109" spans="1:30" ht="15">
      <c r="A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116"/>
      <c r="W1109" s="7"/>
      <c r="X1109" s="7"/>
      <c r="Y1109" s="7"/>
      <c r="Z1109" s="7"/>
      <c r="AA1109" s="7"/>
      <c r="AB1109" s="7"/>
      <c r="AC1109" s="7"/>
      <c r="AD1109" s="7"/>
    </row>
    <row r="1110" spans="1:30" ht="15">
      <c r="A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116"/>
      <c r="W1110" s="7"/>
      <c r="X1110" s="7"/>
      <c r="Y1110" s="7"/>
      <c r="Z1110" s="7"/>
      <c r="AA1110" s="7"/>
      <c r="AB1110" s="7"/>
      <c r="AC1110" s="7"/>
      <c r="AD1110" s="7"/>
    </row>
    <row r="1111" spans="1:30" ht="15">
      <c r="A1111" s="7"/>
      <c r="AA1111" s="7"/>
      <c r="AB1111" s="7"/>
      <c r="AC1111" s="7"/>
      <c r="AD1111" s="7"/>
    </row>
    <row r="1112" spans="1:30" ht="15">
      <c r="A1112" s="7"/>
      <c r="AA1112" s="7"/>
      <c r="AB1112" s="7"/>
      <c r="AC1112" s="7"/>
      <c r="AD1112" s="7"/>
    </row>
    <row r="1113" spans="1:30" ht="15">
      <c r="A1113" s="7"/>
      <c r="AA1113" s="7"/>
      <c r="AB1113" s="7"/>
      <c r="AC1113" s="7"/>
      <c r="AD1113" s="7"/>
    </row>
    <row r="1114" spans="1:30" ht="15">
      <c r="A1114" s="7"/>
      <c r="AA1114" s="7"/>
      <c r="AB1114" s="7"/>
      <c r="AC1114" s="7"/>
      <c r="AD1114" s="7"/>
    </row>
    <row r="1115" spans="1:30" ht="15">
      <c r="A1115" s="7"/>
      <c r="AA1115" s="7"/>
      <c r="AB1115" s="7"/>
      <c r="AC1115" s="7"/>
      <c r="AD1115" s="7"/>
    </row>
    <row r="1116" spans="27:30" ht="15">
      <c r="AA1116" s="7"/>
      <c r="AB1116" s="7"/>
      <c r="AC1116" s="7"/>
      <c r="AD1116" s="7"/>
    </row>
    <row r="1117" spans="27:30" ht="15">
      <c r="AA1117" s="7"/>
      <c r="AB1117" s="7"/>
      <c r="AC1117" s="7"/>
      <c r="AD1117" s="7"/>
    </row>
    <row r="1118" spans="27:30" ht="15">
      <c r="AA1118" s="7"/>
      <c r="AB1118" s="7"/>
      <c r="AC1118" s="7"/>
      <c r="AD1118" s="7"/>
    </row>
    <row r="1119" spans="27:30" ht="15">
      <c r="AA1119" s="7"/>
      <c r="AB1119" s="7"/>
      <c r="AC1119" s="7"/>
      <c r="AD1119" s="7"/>
    </row>
    <row r="1120" spans="27:30" ht="15">
      <c r="AA1120" s="7"/>
      <c r="AB1120" s="7"/>
      <c r="AC1120" s="7"/>
      <c r="AD1120" s="7"/>
    </row>
    <row r="1121" spans="27:30" ht="15">
      <c r="AA1121" s="7"/>
      <c r="AB1121" s="7"/>
      <c r="AC1121" s="7"/>
      <c r="AD1121" s="7"/>
    </row>
  </sheetData>
  <sheetProtection/>
  <mergeCells count="21">
    <mergeCell ref="V5:V6"/>
    <mergeCell ref="W5:W6"/>
    <mergeCell ref="X5:X6"/>
    <mergeCell ref="A7:F7"/>
    <mergeCell ref="C850:T850"/>
    <mergeCell ref="N5:N6"/>
    <mergeCell ref="P5:P6"/>
    <mergeCell ref="Q5:Q6"/>
    <mergeCell ref="R5:R6"/>
    <mergeCell ref="T5:T6"/>
    <mergeCell ref="U5:U6"/>
    <mergeCell ref="C2:Q2"/>
    <mergeCell ref="I3:V3"/>
    <mergeCell ref="A5:F5"/>
    <mergeCell ref="G5:G6"/>
    <mergeCell ref="H5:H6"/>
    <mergeCell ref="I5:I6"/>
    <mergeCell ref="J5:J6"/>
    <mergeCell ref="K5:K6"/>
    <mergeCell ref="L5:L6"/>
    <mergeCell ref="M5:M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2002-01-01T01:47:45Z</dcterms:created>
  <dcterms:modified xsi:type="dcterms:W3CDTF">2002-01-01T01:49:15Z</dcterms:modified>
  <cp:category/>
  <cp:version/>
  <cp:contentType/>
  <cp:contentStatus/>
</cp:coreProperties>
</file>